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C:\Users\l.georgiou\Desktop\Lefteris\dellinas\"/>
    </mc:Choice>
  </mc:AlternateContent>
  <xr:revisionPtr revIDLastSave="0" documentId="13_ncr:1_{4A7B5F30-EFFA-4AED-A509-EB8784E09B8B}" xr6:coauthVersionLast="47" xr6:coauthVersionMax="47" xr10:uidLastSave="{00000000-0000-0000-0000-000000000000}"/>
  <workbookProtection workbookAlgorithmName="SHA-512" workbookHashValue="9e73z58SLLwSO4IN3U++iD3WHIHDZP0qr6Db6LQDDyD2fLcr4qCLSl5/X9CrLWRe33GyNiKQxFnKGz7b5m+NuQ==" workbookSaltValue="Qj3xb9HxYzpq06YzJz06BQ==" workbookSpinCount="100000" lockStructure="1"/>
  <bookViews>
    <workbookView xWindow="-120" yWindow="-120" windowWidth="29040" windowHeight="15720" xr2:uid="{4BE8C18C-4110-4AC3-B233-5AA9BF0ED417}"/>
  </bookViews>
  <sheets>
    <sheet name="Descriptions" sheetId="1" r:id="rId1"/>
    <sheet name="Calculator" sheetId="2" r:id="rId2"/>
  </sheets>
  <definedNames>
    <definedName name="_xlnm.Print_Area" localSheetId="0">Descriptions!$B$151:$H$151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4" i="2" l="1"/>
  <c r="F57" i="2" l="1"/>
  <c r="O58" i="2" s="1"/>
  <c r="P58" i="2" s="1"/>
  <c r="F58" i="2" s="1"/>
  <c r="F55" i="2"/>
  <c r="G47" i="2"/>
  <c r="A48" i="2" s="1"/>
  <c r="G60" i="2"/>
  <c r="G51" i="2"/>
  <c r="G43" i="2"/>
  <c r="A44" i="2" s="1"/>
  <c r="B44" i="2" s="1"/>
  <c r="G44" i="2" s="1"/>
  <c r="A45" i="2" s="1"/>
  <c r="G55" i="2"/>
  <c r="F60" i="2"/>
  <c r="H60" i="2"/>
  <c r="H57" i="2"/>
  <c r="Q58" i="2" s="1"/>
  <c r="R58" i="2" s="1"/>
  <c r="H58" i="2" s="1"/>
  <c r="G57" i="2"/>
  <c r="H55" i="2"/>
  <c r="Q56" i="2" s="1"/>
  <c r="R56" i="2" s="1"/>
  <c r="H56" i="2" s="1"/>
  <c r="H43" i="2"/>
  <c r="Q44" i="2" s="1"/>
  <c r="R44" i="2" s="1"/>
  <c r="H44" i="2" s="1"/>
  <c r="Q45" i="2" s="1"/>
  <c r="R45" i="2" s="1"/>
  <c r="H45" i="2" s="1"/>
  <c r="Q46" i="2" s="1"/>
  <c r="R46" i="2" s="1"/>
  <c r="H46" i="2" s="1"/>
  <c r="H47" i="2"/>
  <c r="Q48" i="2" s="1"/>
  <c r="R48" i="2" s="1"/>
  <c r="H48" i="2" s="1"/>
  <c r="Q49" i="2" s="1"/>
  <c r="R49" i="2" s="1"/>
  <c r="H49" i="2" s="1"/>
  <c r="E49" i="2"/>
  <c r="E50" i="2"/>
  <c r="E48" i="2"/>
  <c r="H51" i="2"/>
  <c r="Q52" i="2" s="1"/>
  <c r="R52" i="2" s="1"/>
  <c r="H52" i="2" s="1"/>
  <c r="Q53" i="2" s="1"/>
  <c r="R53" i="2" s="1"/>
  <c r="H53" i="2" s="1"/>
  <c r="Q54" i="2" s="1"/>
  <c r="R54" i="2" s="1"/>
  <c r="H54" i="2" s="1"/>
  <c r="E46" i="2"/>
  <c r="F43" i="2"/>
  <c r="O44" i="2" s="1"/>
  <c r="P44" i="2" s="1"/>
  <c r="F44" i="2" s="1"/>
  <c r="O45" i="2" s="1"/>
  <c r="P45" i="2" s="1"/>
  <c r="F45" i="2" s="1"/>
  <c r="O46" i="2" s="1"/>
  <c r="P46" i="2" s="1"/>
  <c r="F46" i="2" s="1"/>
  <c r="G22" i="2"/>
  <c r="A23" i="2" s="1"/>
  <c r="F22" i="2"/>
  <c r="O23" i="2" s="1"/>
  <c r="P23" i="2" s="1"/>
  <c r="F23" i="2" s="1"/>
  <c r="H36" i="2"/>
  <c r="G36" i="2"/>
  <c r="E36" i="2"/>
  <c r="F36" i="2"/>
  <c r="O37" i="2" s="1"/>
  <c r="E41" i="2"/>
  <c r="E40" i="2"/>
  <c r="E39" i="2"/>
  <c r="E38" i="2"/>
  <c r="E37" i="2"/>
  <c r="E32" i="2"/>
  <c r="E33" i="2"/>
  <c r="E31" i="2"/>
  <c r="E30" i="2"/>
  <c r="G29" i="2"/>
  <c r="A30" i="2" s="1"/>
  <c r="E29" i="2"/>
  <c r="E34" i="2"/>
  <c r="H29" i="2"/>
  <c r="Q30" i="2" s="1"/>
  <c r="R30" i="2" s="1"/>
  <c r="H30" i="2" s="1"/>
  <c r="Q31" i="2" s="1"/>
  <c r="R31" i="2" s="1"/>
  <c r="H31" i="2" s="1"/>
  <c r="Q32" i="2" s="1"/>
  <c r="R32" i="2" s="1"/>
  <c r="H32" i="2" s="1"/>
  <c r="Q33" i="2" s="1"/>
  <c r="R33" i="2" s="1"/>
  <c r="H33" i="2" s="1"/>
  <c r="Q34" i="2" s="1"/>
  <c r="R34" i="2" s="1"/>
  <c r="H34" i="2" s="1"/>
  <c r="F29" i="2"/>
  <c r="O30" i="2" s="1"/>
  <c r="P30" i="2" s="1"/>
  <c r="F30" i="2" s="1"/>
  <c r="O31" i="2" s="1"/>
  <c r="P31" i="2" s="1"/>
  <c r="F31" i="2" s="1"/>
  <c r="O32" i="2" s="1"/>
  <c r="P32" i="2" s="1"/>
  <c r="F32" i="2" s="1"/>
  <c r="B45" i="2" l="1"/>
  <c r="G45" i="2" s="1"/>
  <c r="A56" i="2"/>
  <c r="B56" i="2" s="1"/>
  <c r="G56" i="2" s="1"/>
  <c r="A52" i="2"/>
  <c r="B52" i="2" s="1"/>
  <c r="G52" i="2" s="1"/>
  <c r="B48" i="2"/>
  <c r="G48" i="2" s="1"/>
  <c r="A58" i="2"/>
  <c r="B58" i="2" s="1"/>
  <c r="G58" i="2" s="1"/>
  <c r="A37" i="2"/>
  <c r="B37" i="2" s="1"/>
  <c r="G37" i="2" s="1"/>
  <c r="P37" i="2"/>
  <c r="F37" i="2" s="1"/>
  <c r="O38" i="2" s="1"/>
  <c r="P38" i="2" s="1"/>
  <c r="Q50" i="2"/>
  <c r="R50" i="2" s="1"/>
  <c r="H50" i="2" s="1"/>
  <c r="Q37" i="2"/>
  <c r="R37" i="2" s="1"/>
  <c r="H37" i="2" s="1"/>
  <c r="O33" i="2"/>
  <c r="P33" i="2" s="1"/>
  <c r="F33" i="2" s="1"/>
  <c r="O24" i="2"/>
  <c r="P24" i="2" s="1"/>
  <c r="F24" i="2" s="1"/>
  <c r="I22" i="2"/>
  <c r="J22" i="2"/>
  <c r="K22" i="2"/>
  <c r="L22" i="2"/>
  <c r="M22" i="2"/>
  <c r="N22" i="2"/>
  <c r="A38" i="2" l="1"/>
  <c r="B38" i="2" s="1"/>
  <c r="G38" i="2" s="1"/>
  <c r="A39" i="2" s="1"/>
  <c r="B39" i="2" s="1"/>
  <c r="G39" i="2" s="1"/>
  <c r="A53" i="2"/>
  <c r="B53" i="2" s="1"/>
  <c r="G53" i="2" s="1"/>
  <c r="A49" i="2"/>
  <c r="B49" i="2" s="1"/>
  <c r="G49" i="2" s="1"/>
  <c r="A46" i="2"/>
  <c r="B46" i="2" s="1"/>
  <c r="G46" i="2" s="1"/>
  <c r="F38" i="2"/>
  <c r="O39" i="2" s="1"/>
  <c r="P39" i="2" s="1"/>
  <c r="F39" i="2" s="1"/>
  <c r="O40" i="2" s="1"/>
  <c r="P40" i="2" s="1"/>
  <c r="Q38" i="2"/>
  <c r="R38" i="2" s="1"/>
  <c r="H38" i="2" s="1"/>
  <c r="O34" i="2"/>
  <c r="P34" i="2" s="1"/>
  <c r="F34" i="2" s="1"/>
  <c r="O25" i="2"/>
  <c r="P25" i="2" s="1"/>
  <c r="F25" i="2" s="1"/>
  <c r="M23" i="2"/>
  <c r="M56" i="2" s="1"/>
  <c r="M29" i="2"/>
  <c r="N55" i="2"/>
  <c r="N29" i="2"/>
  <c r="K23" i="2"/>
  <c r="K56" i="2" s="1"/>
  <c r="K29" i="2"/>
  <c r="L23" i="2"/>
  <c r="L24" i="2" s="1"/>
  <c r="L25" i="2" s="1"/>
  <c r="L29" i="2"/>
  <c r="J23" i="2"/>
  <c r="J24" i="2" s="1"/>
  <c r="J25" i="2" s="1"/>
  <c r="J29" i="2"/>
  <c r="I23" i="2"/>
  <c r="I56" i="2" s="1"/>
  <c r="I29" i="2"/>
  <c r="N23" i="2"/>
  <c r="N24" i="2" s="1"/>
  <c r="N25" i="2" s="1"/>
  <c r="N26" i="2" s="1"/>
  <c r="N27" i="2" s="1"/>
  <c r="M55" i="2"/>
  <c r="L55" i="2"/>
  <c r="J55" i="2"/>
  <c r="I55" i="2"/>
  <c r="K55" i="2"/>
  <c r="D60" i="2"/>
  <c r="D58" i="2"/>
  <c r="M24" i="2" l="1"/>
  <c r="M25" i="2" s="1"/>
  <c r="M26" i="2" s="1"/>
  <c r="M27" i="2" s="1"/>
  <c r="M43" i="2" s="1"/>
  <c r="M44" i="2" s="1"/>
  <c r="M45" i="2" s="1"/>
  <c r="M46" i="2" s="1"/>
  <c r="M47" i="2" s="1"/>
  <c r="M48" i="2" s="1"/>
  <c r="M49" i="2" s="1"/>
  <c r="M50" i="2" s="1"/>
  <c r="M51" i="2" s="1"/>
  <c r="M52" i="2" s="1"/>
  <c r="M53" i="2" s="1"/>
  <c r="M54" i="2" s="1"/>
  <c r="A50" i="2"/>
  <c r="B50" i="2" s="1"/>
  <c r="G50" i="2" s="1"/>
  <c r="A54" i="2"/>
  <c r="B54" i="2" s="1"/>
  <c r="G54" i="2" s="1"/>
  <c r="A40" i="2"/>
  <c r="B40" i="2" s="1"/>
  <c r="G40" i="2" s="1"/>
  <c r="A41" i="2" s="1"/>
  <c r="B41" i="2" s="1"/>
  <c r="G41" i="2" s="1"/>
  <c r="F40" i="2"/>
  <c r="O41" i="2" s="1"/>
  <c r="P41" i="2" s="1"/>
  <c r="F41" i="2" s="1"/>
  <c r="Q39" i="2"/>
  <c r="R39" i="2" s="1"/>
  <c r="H39" i="2" s="1"/>
  <c r="O26" i="2"/>
  <c r="P26" i="2" s="1"/>
  <c r="F26" i="2" s="1"/>
  <c r="O27" i="2" s="1"/>
  <c r="J30" i="2"/>
  <c r="J36" i="2"/>
  <c r="I30" i="2"/>
  <c r="I36" i="2"/>
  <c r="L30" i="2"/>
  <c r="L36" i="2"/>
  <c r="N30" i="2"/>
  <c r="N36" i="2"/>
  <c r="M30" i="2"/>
  <c r="M36" i="2"/>
  <c r="K30" i="2"/>
  <c r="K36" i="2"/>
  <c r="I24" i="2"/>
  <c r="I25" i="2" s="1"/>
  <c r="I58" i="2" s="1"/>
  <c r="L56" i="2"/>
  <c r="J56" i="2"/>
  <c r="K24" i="2"/>
  <c r="K25" i="2" s="1"/>
  <c r="E27" i="2"/>
  <c r="B23" i="2"/>
  <c r="G23" i="2" s="1"/>
  <c r="A24" i="2" s="1"/>
  <c r="E26" i="2"/>
  <c r="E23" i="2"/>
  <c r="E25" i="2"/>
  <c r="E24" i="2"/>
  <c r="H22" i="2"/>
  <c r="E22" i="2"/>
  <c r="N57" i="2"/>
  <c r="N56" i="2"/>
  <c r="N58" i="2"/>
  <c r="L57" i="2"/>
  <c r="J57" i="2"/>
  <c r="N60" i="2"/>
  <c r="N43" i="2"/>
  <c r="N44" i="2" s="1"/>
  <c r="N45" i="2" s="1"/>
  <c r="N46" i="2" s="1"/>
  <c r="N47" i="2" s="1"/>
  <c r="N48" i="2" s="1"/>
  <c r="N49" i="2" s="1"/>
  <c r="N50" i="2" s="1"/>
  <c r="N51" i="2" s="1"/>
  <c r="N52" i="2" s="1"/>
  <c r="N53" i="2" s="1"/>
  <c r="N54" i="2" s="1"/>
  <c r="L58" i="2"/>
  <c r="L26" i="2"/>
  <c r="L27" i="2" s="1"/>
  <c r="J58" i="2"/>
  <c r="J26" i="2"/>
  <c r="J27" i="2" s="1"/>
  <c r="E60" i="2"/>
  <c r="E57" i="2"/>
  <c r="E58" i="2"/>
  <c r="M60" i="2" l="1"/>
  <c r="M58" i="2"/>
  <c r="M57" i="2"/>
  <c r="Q40" i="2"/>
  <c r="R40" i="2" s="1"/>
  <c r="H40" i="2" s="1"/>
  <c r="I26" i="2"/>
  <c r="I27" i="2" s="1"/>
  <c r="I60" i="2" s="1"/>
  <c r="Q23" i="2"/>
  <c r="R23" i="2" s="1"/>
  <c r="H23" i="2" s="1"/>
  <c r="Q24" i="2" s="1"/>
  <c r="R24" i="2" s="1"/>
  <c r="H24" i="2" s="1"/>
  <c r="Q25" i="2" s="1"/>
  <c r="R25" i="2" s="1"/>
  <c r="H25" i="2" s="1"/>
  <c r="Q26" i="2" s="1"/>
  <c r="R26" i="2" s="1"/>
  <c r="H26" i="2" s="1"/>
  <c r="Q27" i="2" s="1"/>
  <c r="R27" i="2" s="1"/>
  <c r="H27" i="2" s="1"/>
  <c r="B24" i="2"/>
  <c r="G24" i="2" s="1"/>
  <c r="A25" i="2" s="1"/>
  <c r="P27" i="2"/>
  <c r="F27" i="2" s="1"/>
  <c r="I57" i="2"/>
  <c r="K31" i="2"/>
  <c r="K37" i="2"/>
  <c r="M31" i="2"/>
  <c r="M37" i="2"/>
  <c r="L31" i="2"/>
  <c r="L37" i="2"/>
  <c r="N31" i="2"/>
  <c r="N37" i="2"/>
  <c r="I31" i="2"/>
  <c r="I37" i="2"/>
  <c r="J31" i="2"/>
  <c r="J37" i="2"/>
  <c r="K57" i="2"/>
  <c r="J43" i="2"/>
  <c r="J44" i="2" s="1"/>
  <c r="J45" i="2" s="1"/>
  <c r="J46" i="2" s="1"/>
  <c r="J47" i="2" s="1"/>
  <c r="J48" i="2" s="1"/>
  <c r="J49" i="2" s="1"/>
  <c r="J50" i="2" s="1"/>
  <c r="J51" i="2" s="1"/>
  <c r="J52" i="2" s="1"/>
  <c r="J53" i="2" s="1"/>
  <c r="J54" i="2" s="1"/>
  <c r="J60" i="2"/>
  <c r="K26" i="2"/>
  <c r="K27" i="2" s="1"/>
  <c r="K58" i="2"/>
  <c r="L43" i="2"/>
  <c r="L44" i="2" s="1"/>
  <c r="L45" i="2" s="1"/>
  <c r="L46" i="2" s="1"/>
  <c r="L47" i="2" s="1"/>
  <c r="L48" i="2" s="1"/>
  <c r="L49" i="2" s="1"/>
  <c r="L50" i="2" s="1"/>
  <c r="L51" i="2" s="1"/>
  <c r="L52" i="2" s="1"/>
  <c r="L53" i="2" s="1"/>
  <c r="L54" i="2" s="1"/>
  <c r="L60" i="2"/>
  <c r="D57" i="2"/>
  <c r="D56" i="2"/>
  <c r="D55" i="2"/>
  <c r="D54" i="2"/>
  <c r="D53" i="2"/>
  <c r="D52" i="2"/>
  <c r="D51" i="2"/>
  <c r="D50" i="2"/>
  <c r="D49" i="2"/>
  <c r="D48" i="2"/>
  <c r="D47" i="2"/>
  <c r="D46" i="2"/>
  <c r="D45" i="2"/>
  <c r="D44" i="2"/>
  <c r="D43" i="2"/>
  <c r="D27" i="2"/>
  <c r="D34" i="2" s="1"/>
  <c r="D41" i="2" s="1"/>
  <c r="D26" i="2"/>
  <c r="D33" i="2" s="1"/>
  <c r="D40" i="2" s="1"/>
  <c r="D25" i="2"/>
  <c r="D32" i="2" s="1"/>
  <c r="D39" i="2" s="1"/>
  <c r="D24" i="2"/>
  <c r="D31" i="2" s="1"/>
  <c r="D38" i="2" s="1"/>
  <c r="D23" i="2"/>
  <c r="D30" i="2" s="1"/>
  <c r="D37" i="2" s="1"/>
  <c r="D22" i="2"/>
  <c r="D29" i="2" s="1"/>
  <c r="D36" i="2" s="1"/>
  <c r="I43" i="2" l="1"/>
  <c r="I44" i="2" s="1"/>
  <c r="I45" i="2" s="1"/>
  <c r="I46" i="2" s="1"/>
  <c r="I47" i="2" s="1"/>
  <c r="I48" i="2" s="1"/>
  <c r="I49" i="2" s="1"/>
  <c r="I50" i="2" s="1"/>
  <c r="I51" i="2" s="1"/>
  <c r="I52" i="2" s="1"/>
  <c r="I53" i="2" s="1"/>
  <c r="I54" i="2" s="1"/>
  <c r="Q41" i="2"/>
  <c r="R41" i="2" s="1"/>
  <c r="H41" i="2" s="1"/>
  <c r="B25" i="2"/>
  <c r="G25" i="2" s="1"/>
  <c r="A26" i="2" s="1"/>
  <c r="L32" i="2"/>
  <c r="L38" i="2"/>
  <c r="N32" i="2"/>
  <c r="N38" i="2"/>
  <c r="I32" i="2"/>
  <c r="I38" i="2"/>
  <c r="M32" i="2"/>
  <c r="M38" i="2"/>
  <c r="J32" i="2"/>
  <c r="J38" i="2"/>
  <c r="K32" i="2"/>
  <c r="K38" i="2"/>
  <c r="K60" i="2"/>
  <c r="K43" i="2"/>
  <c r="K44" i="2" s="1"/>
  <c r="K45" i="2" s="1"/>
  <c r="K46" i="2" s="1"/>
  <c r="K47" i="2" s="1"/>
  <c r="K48" i="2" s="1"/>
  <c r="K49" i="2" s="1"/>
  <c r="K50" i="2" s="1"/>
  <c r="K51" i="2" s="1"/>
  <c r="K52" i="2" s="1"/>
  <c r="K53" i="2" s="1"/>
  <c r="K54" i="2" s="1"/>
  <c r="F51" i="2"/>
  <c r="O52" i="2" s="1"/>
  <c r="P52" i="2" s="1"/>
  <c r="F52" i="2" s="1"/>
  <c r="O53" i="2" s="1"/>
  <c r="P53" i="2" s="1"/>
  <c r="F53" i="2" s="1"/>
  <c r="O54" i="2" s="1"/>
  <c r="P54" i="2" s="1"/>
  <c r="F54" i="2" s="1"/>
  <c r="O56" i="2"/>
  <c r="P56" i="2" s="1"/>
  <c r="F56" i="2" s="1"/>
  <c r="E56" i="2"/>
  <c r="E55" i="2"/>
  <c r="E52" i="2"/>
  <c r="E43" i="2"/>
  <c r="E53" i="2"/>
  <c r="E45" i="2"/>
  <c r="E47" i="2"/>
  <c r="F47" i="2"/>
  <c r="O48" i="2" s="1"/>
  <c r="P48" i="2" s="1"/>
  <c r="F48" i="2" s="1"/>
  <c r="O49" i="2" s="1"/>
  <c r="P49" i="2" s="1"/>
  <c r="F49" i="2" s="1"/>
  <c r="O50" i="2" s="1"/>
  <c r="P50" i="2" s="1"/>
  <c r="F50" i="2" s="1"/>
  <c r="E44" i="2"/>
  <c r="E54" i="2"/>
  <c r="E51" i="2"/>
  <c r="B26" i="2" l="1"/>
  <c r="G26" i="2" s="1"/>
  <c r="A27" i="2" s="1"/>
  <c r="I33" i="2"/>
  <c r="I39" i="2"/>
  <c r="K33" i="2"/>
  <c r="K39" i="2"/>
  <c r="N33" i="2"/>
  <c r="N39" i="2"/>
  <c r="J33" i="2"/>
  <c r="J39" i="2"/>
  <c r="M33" i="2"/>
  <c r="M39" i="2"/>
  <c r="L33" i="2"/>
  <c r="L39" i="2"/>
  <c r="B27" i="2" l="1"/>
  <c r="G27" i="2" s="1"/>
  <c r="K34" i="2"/>
  <c r="K41" i="2" s="1"/>
  <c r="K40" i="2"/>
  <c r="L34" i="2"/>
  <c r="L41" i="2" s="1"/>
  <c r="L40" i="2"/>
  <c r="M34" i="2"/>
  <c r="M41" i="2" s="1"/>
  <c r="M40" i="2"/>
  <c r="J34" i="2"/>
  <c r="J41" i="2" s="1"/>
  <c r="J40" i="2"/>
  <c r="N34" i="2"/>
  <c r="N41" i="2" s="1"/>
  <c r="N40" i="2"/>
  <c r="I34" i="2"/>
  <c r="I41" i="2" s="1"/>
  <c r="I40" i="2"/>
  <c r="B30" i="2"/>
  <c r="G30" i="2" s="1"/>
  <c r="A31" i="2" l="1"/>
  <c r="B31" i="2" s="1"/>
  <c r="G31" i="2" s="1"/>
  <c r="A32" i="2" l="1"/>
  <c r="B32" i="2" s="1"/>
  <c r="G32" i="2" s="1"/>
  <c r="A33" i="2" s="1"/>
  <c r="B33" i="2" s="1"/>
  <c r="G33" i="2" s="1"/>
  <c r="A34" i="2" l="1"/>
  <c r="B34" i="2" s="1"/>
  <c r="G34" i="2" s="1"/>
</calcChain>
</file>

<file path=xl/sharedStrings.xml><?xml version="1.0" encoding="utf-8"?>
<sst xmlns="http://schemas.openxmlformats.org/spreadsheetml/2006/main" count="463" uniqueCount="273">
  <si>
    <t>A/A</t>
  </si>
  <si>
    <t>GRILLES</t>
  </si>
  <si>
    <t>C2020 20mm</t>
  </si>
  <si>
    <t>C2020 25mm</t>
  </si>
  <si>
    <t>C2020 30mm</t>
  </si>
  <si>
    <t>C2020 40mm</t>
  </si>
  <si>
    <t>C2020 50mm</t>
  </si>
  <si>
    <t>C2020 65mm</t>
  </si>
  <si>
    <t>SUPPLY</t>
  </si>
  <si>
    <t>FREE RETURN</t>
  </si>
  <si>
    <t xml:space="preserve">SUPPLY </t>
  </si>
  <si>
    <t>RETURN CONNECTED WITH FLEXIBLES ON A/C UNIT (SAME AS C2020 SUPPLY)</t>
  </si>
  <si>
    <t>C2020 GRILLES</t>
  </si>
  <si>
    <t>3D VIEW LINK</t>
  </si>
  <si>
    <t>LINEAR GRILLES</t>
  </si>
  <si>
    <t>C:8-5</t>
  </si>
  <si>
    <t>C:12-5</t>
  </si>
  <si>
    <t>V-SLOT</t>
  </si>
  <si>
    <t>2-SLOT</t>
  </si>
  <si>
    <t>3-SLOT</t>
  </si>
  <si>
    <t>2-SLOT GRILLES/3-SLOT GRILLES</t>
  </si>
  <si>
    <t>V-SLOT GRILLES</t>
  </si>
  <si>
    <t>CIRCLE</t>
  </si>
  <si>
    <t>OVAL</t>
  </si>
  <si>
    <t>SQUARE</t>
  </si>
  <si>
    <t>LINE</t>
  </si>
  <si>
    <t>1-SLOT</t>
  </si>
  <si>
    <t xml:space="preserve">ACCESS PANEL </t>
  </si>
  <si>
    <t>PAK700 - 1SLOT</t>
  </si>
  <si>
    <t xml:space="preserve">PAK700 - 3SLOT </t>
  </si>
  <si>
    <t xml:space="preserve">PAK700 - 2SLOT </t>
  </si>
  <si>
    <t>PAK1000 - 1SLOT</t>
  </si>
  <si>
    <t xml:space="preserve">PAK1000 - 3SLOT </t>
  </si>
  <si>
    <t xml:space="preserve">PAK1000 - 2SLOT </t>
  </si>
  <si>
    <t xml:space="preserve"> C2020 Supply Curved</t>
  </si>
  <si>
    <t>C2020 Supply Curved (Metope)</t>
  </si>
  <si>
    <t>C2020 Supply Curved (Metope) 2</t>
  </si>
  <si>
    <t>MYKONIAN AIR - WC EXTRACTORS</t>
  </si>
  <si>
    <t>MYKONIAN AIR - SLOTS</t>
  </si>
  <si>
    <t>MYKONIAN AIR - EASYAX ACCESS PANEL</t>
  </si>
  <si>
    <t>SUPPLY / DUMMY / FREE RETURN</t>
  </si>
  <si>
    <t>SUPPLY / FREE RETURN</t>
  </si>
  <si>
    <t>C2020 ACCESSORIES</t>
  </si>
  <si>
    <r>
      <t>C2020 Dummy Corner Accessory 90</t>
    </r>
    <r>
      <rPr>
        <b/>
        <sz val="11"/>
        <color theme="1"/>
        <rFont val="Century Gothic"/>
        <family val="2"/>
      </rPr>
      <t>°</t>
    </r>
  </si>
  <si>
    <t xml:space="preserve"> C2020 Dummy Corner Accessory 90° (Metope)</t>
  </si>
  <si>
    <t xml:space="preserve"> C2020 Dummy Corner Accessory 90° (Metope) 2</t>
  </si>
  <si>
    <t>C2020 Dummy Corner Accessory 135°</t>
  </si>
  <si>
    <t xml:space="preserve"> C2020 Dummy Corner Accessory 135° (Metope)</t>
  </si>
  <si>
    <t xml:space="preserve"> C2020 Dummy Corner Accessory 135° (Metope) 2</t>
  </si>
  <si>
    <t xml:space="preserve">C2020 Supply Corner Accessory 90° </t>
  </si>
  <si>
    <t xml:space="preserve"> C2020 Supply Corner Accessory 90° (Metope)</t>
  </si>
  <si>
    <t>C2020 Supply Corner Accessory 90° (Metope) 2</t>
  </si>
  <si>
    <t xml:space="preserve"> PAK1000 - REVERSE LINEAR 12-5</t>
  </si>
  <si>
    <t>WC VENT AIR ΕXTRACTOR GRILLES</t>
  </si>
  <si>
    <r>
      <t xml:space="preserve"> CIRCLE EXTRACTOR GRILLE / RF:30mm ON PLENUM BOX WITH 1 SPIGOT Φ125 ΟΝ ΤΗΕ </t>
    </r>
    <r>
      <rPr>
        <sz val="11"/>
        <rFont val="Calibri"/>
        <family val="2"/>
        <scheme val="minor"/>
      </rPr>
      <t>ΒΑCK</t>
    </r>
  </si>
  <si>
    <t>OVAL EXTRACTOR GRILLE / RF:30mm ON PLENUM BOX WITH 1 SPIGOT Φ125 ΟΝ ΤΗΕ ΒΑCK</t>
  </si>
  <si>
    <t>SQUARE EXTRACTOR GRILLE / RF:30mm ON PLENUM BOX WITH 1 SPIGOT Φ125 ΟΝ ΤΗΕ ΒΑCK</t>
  </si>
  <si>
    <r>
      <t xml:space="preserve">LINE EXTRACTOR GRILLE / RF:30mm ON PLENUM BOX WITH 1 SPIGOT Φ125 ΟΝ ΤΗΕ </t>
    </r>
    <r>
      <rPr>
        <b/>
        <sz val="11"/>
        <color theme="1"/>
        <rFont val="Calibri"/>
        <family val="2"/>
        <scheme val="minor"/>
      </rPr>
      <t>SIDE</t>
    </r>
  </si>
  <si>
    <r>
      <t xml:space="preserve"> PAK700 - 
(RECOMMENDED FOR HOTEL BEDROOMS WITH INDOOR UNITS UP TO 700m</t>
    </r>
    <r>
      <rPr>
        <b/>
        <sz val="28"/>
        <color theme="1"/>
        <rFont val="Calibri"/>
        <family val="2"/>
      </rPr>
      <t>³/hr)</t>
    </r>
  </si>
  <si>
    <r>
      <t xml:space="preserve"> PAK1000 - 
(RECOMMENDED FOR HOTEL BEDROOMS WITH INDOOR UNITS UP TO 1000m</t>
    </r>
    <r>
      <rPr>
        <b/>
        <sz val="28"/>
        <color theme="1"/>
        <rFont val="Calibri"/>
        <family val="2"/>
      </rPr>
      <t>³/hr)</t>
    </r>
  </si>
  <si>
    <t xml:space="preserve"> PAK700 - 
REVERSE LINEAR 12-5</t>
  </si>
  <si>
    <t>BRAND LOGO</t>
  </si>
  <si>
    <t>DUMMY</t>
  </si>
  <si>
    <t>AC PLENUM BOX</t>
  </si>
  <si>
    <t>AC PLENUM BOX 2 F150</t>
  </si>
  <si>
    <t>AC PLENUM BOX 3 F150</t>
  </si>
  <si>
    <t>ΠΡΟΔΙΑΓΡΑΦΕΣ:</t>
  </si>
  <si>
    <t>ΣΥΣΤΗΜΑΤΑ ΣΤΟΜΙΩΝ</t>
  </si>
  <si>
    <t>KOYTIΑ ΠΛΗΡΟΤΗΤΑΣ ΑΕΡΑ (ΜΗΧΑΝΗΜΑΤΩΝ)</t>
  </si>
  <si>
    <t>CALCULATOR FOR GRILLE AND SPIGOTS</t>
  </si>
  <si>
    <t>Total Air Flow (m3/h)</t>
  </si>
  <si>
    <t>Length of grillie (m):</t>
  </si>
  <si>
    <t>Air flow per meter (m3/hm):</t>
  </si>
  <si>
    <t>Free Area (m2)</t>
  </si>
  <si>
    <t>Velocity of Grilles (m/s)</t>
  </si>
  <si>
    <t>Φ125</t>
  </si>
  <si>
    <t>Φ150</t>
  </si>
  <si>
    <t>Φ180</t>
  </si>
  <si>
    <t>Φ200</t>
  </si>
  <si>
    <t>Φ250</t>
  </si>
  <si>
    <t>Linear C 8-5 1000X100</t>
  </si>
  <si>
    <t>Linear C 8-5 1000X150</t>
  </si>
  <si>
    <t>Linear C 8-5 1000X200</t>
  </si>
  <si>
    <t>Linear C 8-5 1000X300</t>
  </si>
  <si>
    <t>Linear C 12-5 1000X100</t>
  </si>
  <si>
    <t>Linear C 12-5 1000X150</t>
  </si>
  <si>
    <t>Linear C 12-5 1000X200</t>
  </si>
  <si>
    <t>Linear C 12-5 1000X300</t>
  </si>
  <si>
    <t>V-Cut C 10-7 1000X100</t>
  </si>
  <si>
    <t>V-Cut C 10-7 1000X150</t>
  </si>
  <si>
    <t>V-Cut C 10-7 1000X200</t>
  </si>
  <si>
    <t>V-Cut C 10-7 1000X300</t>
  </si>
  <si>
    <t>CALCULATOR</t>
  </si>
  <si>
    <t>C:10-7</t>
  </si>
  <si>
    <r>
      <t>C2020 20mm SUPPLY (</t>
    </r>
    <r>
      <rPr>
        <sz val="11"/>
        <color rgb="FFFF0000"/>
        <rFont val="Calibri"/>
        <family val="2"/>
        <scheme val="minor"/>
      </rPr>
      <t>LENGTH</t>
    </r>
    <r>
      <rPr>
        <sz val="11"/>
        <color theme="1"/>
        <rFont val="Calibri"/>
        <family val="2"/>
        <scheme val="minor"/>
      </rPr>
      <t>) WITH (</t>
    </r>
    <r>
      <rPr>
        <sz val="11"/>
        <color rgb="FFFF0000"/>
        <rFont val="Calibri"/>
        <family val="2"/>
        <scheme val="minor"/>
      </rPr>
      <t>No</t>
    </r>
    <r>
      <rPr>
        <sz val="11"/>
        <color theme="1"/>
        <rFont val="Calibri"/>
        <family val="2"/>
        <scheme val="minor"/>
      </rPr>
      <t>.</t>
    </r>
    <r>
      <rPr>
        <sz val="11"/>
        <color rgb="FFFF0000"/>
        <rFont val="Calibri"/>
        <family val="2"/>
        <scheme val="minor"/>
      </rPr>
      <t>SPIGOTS</t>
    </r>
    <r>
      <rPr>
        <sz val="11"/>
        <color theme="1"/>
        <rFont val="Calibri"/>
        <family val="2"/>
        <scheme val="minor"/>
      </rPr>
      <t>) Φ(</t>
    </r>
    <r>
      <rPr>
        <sz val="11"/>
        <color rgb="FFFF0000"/>
        <rFont val="Calibri"/>
        <family val="2"/>
        <scheme val="minor"/>
      </rPr>
      <t>DIAMETER</t>
    </r>
    <r>
      <rPr>
        <sz val="11"/>
        <color theme="1"/>
        <rFont val="Calibri"/>
        <family val="2"/>
        <scheme val="minor"/>
      </rPr>
      <t xml:space="preserve">) ΟΝ ΤΗΕ </t>
    </r>
    <r>
      <rPr>
        <sz val="11"/>
        <color rgb="FFFF0000"/>
        <rFont val="Calibri"/>
        <family val="2"/>
        <scheme val="minor"/>
      </rPr>
      <t>BACK OR SIDE</t>
    </r>
    <r>
      <rPr>
        <sz val="11"/>
        <color theme="1"/>
        <rFont val="Calibri"/>
        <family val="2"/>
        <scheme val="minor"/>
      </rPr>
      <t xml:space="preserve"> </t>
    </r>
  </si>
  <si>
    <r>
      <t>C2020 25mm SUPPLY (</t>
    </r>
    <r>
      <rPr>
        <sz val="11"/>
        <color rgb="FFFF0000"/>
        <rFont val="Calibri"/>
        <family val="2"/>
        <scheme val="minor"/>
      </rPr>
      <t>LENGTH</t>
    </r>
    <r>
      <rPr>
        <sz val="11"/>
        <color theme="1"/>
        <rFont val="Calibri"/>
        <family val="2"/>
        <scheme val="minor"/>
      </rPr>
      <t>) WITH (</t>
    </r>
    <r>
      <rPr>
        <sz val="11"/>
        <color rgb="FFFF0000"/>
        <rFont val="Calibri"/>
        <family val="2"/>
        <scheme val="minor"/>
      </rPr>
      <t>No</t>
    </r>
    <r>
      <rPr>
        <sz val="11"/>
        <color theme="1"/>
        <rFont val="Calibri"/>
        <family val="2"/>
        <scheme val="minor"/>
      </rPr>
      <t>.</t>
    </r>
    <r>
      <rPr>
        <sz val="11"/>
        <color rgb="FFFF0000"/>
        <rFont val="Calibri"/>
        <family val="2"/>
        <scheme val="minor"/>
      </rPr>
      <t>SPIGOTS</t>
    </r>
    <r>
      <rPr>
        <sz val="11"/>
        <color theme="1"/>
        <rFont val="Calibri"/>
        <family val="2"/>
        <scheme val="minor"/>
      </rPr>
      <t>) Φ(</t>
    </r>
    <r>
      <rPr>
        <sz val="11"/>
        <color rgb="FFFF0000"/>
        <rFont val="Calibri"/>
        <family val="2"/>
        <scheme val="minor"/>
      </rPr>
      <t>DIAMETER</t>
    </r>
    <r>
      <rPr>
        <sz val="11"/>
        <color theme="1"/>
        <rFont val="Calibri"/>
        <family val="2"/>
        <scheme val="minor"/>
      </rPr>
      <t xml:space="preserve">) ΟΝ ΤΗΕ </t>
    </r>
    <r>
      <rPr>
        <sz val="11"/>
        <color rgb="FFFF0000"/>
        <rFont val="Calibri"/>
        <family val="2"/>
        <scheme val="minor"/>
      </rPr>
      <t>BACK OR SIDE</t>
    </r>
    <r>
      <rPr>
        <sz val="11"/>
        <color theme="1"/>
        <rFont val="Calibri"/>
        <family val="2"/>
        <scheme val="minor"/>
      </rPr>
      <t xml:space="preserve"> </t>
    </r>
  </si>
  <si>
    <r>
      <t>C2020 30mm SUPPLY (</t>
    </r>
    <r>
      <rPr>
        <sz val="11"/>
        <color rgb="FFFF0000"/>
        <rFont val="Calibri"/>
        <family val="2"/>
        <scheme val="minor"/>
      </rPr>
      <t>LENGTH</t>
    </r>
    <r>
      <rPr>
        <sz val="11"/>
        <color theme="1"/>
        <rFont val="Calibri"/>
        <family val="2"/>
        <scheme val="minor"/>
      </rPr>
      <t>) WITH (</t>
    </r>
    <r>
      <rPr>
        <sz val="11"/>
        <color rgb="FFFF0000"/>
        <rFont val="Calibri"/>
        <family val="2"/>
        <scheme val="minor"/>
      </rPr>
      <t>No</t>
    </r>
    <r>
      <rPr>
        <sz val="11"/>
        <color theme="1"/>
        <rFont val="Calibri"/>
        <family val="2"/>
        <scheme val="minor"/>
      </rPr>
      <t>.</t>
    </r>
    <r>
      <rPr>
        <sz val="11"/>
        <color rgb="FFFF0000"/>
        <rFont val="Calibri"/>
        <family val="2"/>
        <scheme val="minor"/>
      </rPr>
      <t>SPIGOTS</t>
    </r>
    <r>
      <rPr>
        <sz val="11"/>
        <color theme="1"/>
        <rFont val="Calibri"/>
        <family val="2"/>
        <scheme val="minor"/>
      </rPr>
      <t>) Φ(</t>
    </r>
    <r>
      <rPr>
        <sz val="11"/>
        <color rgb="FFFF0000"/>
        <rFont val="Calibri"/>
        <family val="2"/>
        <scheme val="minor"/>
      </rPr>
      <t>DIAMETER</t>
    </r>
    <r>
      <rPr>
        <sz val="11"/>
        <color theme="1"/>
        <rFont val="Calibri"/>
        <family val="2"/>
        <scheme val="minor"/>
      </rPr>
      <t xml:space="preserve">) ΟΝ ΤΗΕ </t>
    </r>
    <r>
      <rPr>
        <sz val="11"/>
        <color rgb="FFFF0000"/>
        <rFont val="Calibri"/>
        <family val="2"/>
        <scheme val="minor"/>
      </rPr>
      <t>BACK OR SIDE</t>
    </r>
    <r>
      <rPr>
        <sz val="11"/>
        <color theme="1"/>
        <rFont val="Calibri"/>
        <family val="2"/>
        <scheme val="minor"/>
      </rPr>
      <t xml:space="preserve"> </t>
    </r>
  </si>
  <si>
    <r>
      <t>C2020 40mm SUPPLY (</t>
    </r>
    <r>
      <rPr>
        <sz val="11"/>
        <color rgb="FFFF0000"/>
        <rFont val="Calibri"/>
        <family val="2"/>
        <scheme val="minor"/>
      </rPr>
      <t>LENGTH</t>
    </r>
    <r>
      <rPr>
        <sz val="11"/>
        <color theme="1"/>
        <rFont val="Calibri"/>
        <family val="2"/>
        <scheme val="minor"/>
      </rPr>
      <t>) WITH (</t>
    </r>
    <r>
      <rPr>
        <sz val="11"/>
        <color rgb="FFFF0000"/>
        <rFont val="Calibri"/>
        <family val="2"/>
        <scheme val="minor"/>
      </rPr>
      <t>No</t>
    </r>
    <r>
      <rPr>
        <sz val="11"/>
        <color theme="1"/>
        <rFont val="Calibri"/>
        <family val="2"/>
        <scheme val="minor"/>
      </rPr>
      <t>.</t>
    </r>
    <r>
      <rPr>
        <sz val="11"/>
        <color rgb="FFFF0000"/>
        <rFont val="Calibri"/>
        <family val="2"/>
        <scheme val="minor"/>
      </rPr>
      <t>SPIGOTS</t>
    </r>
    <r>
      <rPr>
        <sz val="11"/>
        <color theme="1"/>
        <rFont val="Calibri"/>
        <family val="2"/>
        <scheme val="minor"/>
      </rPr>
      <t>) Φ(</t>
    </r>
    <r>
      <rPr>
        <sz val="11"/>
        <color rgb="FFFF0000"/>
        <rFont val="Calibri"/>
        <family val="2"/>
        <scheme val="minor"/>
      </rPr>
      <t>DIAMETER</t>
    </r>
    <r>
      <rPr>
        <sz val="11"/>
        <color theme="1"/>
        <rFont val="Calibri"/>
        <family val="2"/>
        <scheme val="minor"/>
      </rPr>
      <t xml:space="preserve">) ΟΝ ΤΗΕ </t>
    </r>
    <r>
      <rPr>
        <sz val="11"/>
        <color rgb="FFFF0000"/>
        <rFont val="Calibri"/>
        <family val="2"/>
        <scheme val="minor"/>
      </rPr>
      <t>BACK OR SIDE</t>
    </r>
    <r>
      <rPr>
        <sz val="11"/>
        <color theme="1"/>
        <rFont val="Calibri"/>
        <family val="2"/>
        <scheme val="minor"/>
      </rPr>
      <t xml:space="preserve"> </t>
    </r>
  </si>
  <si>
    <r>
      <t>C2020 50mm SUPPLY (</t>
    </r>
    <r>
      <rPr>
        <sz val="11"/>
        <color rgb="FFFF0000"/>
        <rFont val="Calibri"/>
        <family val="2"/>
        <scheme val="minor"/>
      </rPr>
      <t>LENGTH</t>
    </r>
    <r>
      <rPr>
        <sz val="11"/>
        <color theme="1"/>
        <rFont val="Calibri"/>
        <family val="2"/>
        <scheme val="minor"/>
      </rPr>
      <t>) WITH (</t>
    </r>
    <r>
      <rPr>
        <sz val="11"/>
        <color rgb="FFFF0000"/>
        <rFont val="Calibri"/>
        <family val="2"/>
        <scheme val="minor"/>
      </rPr>
      <t>No</t>
    </r>
    <r>
      <rPr>
        <sz val="11"/>
        <color theme="1"/>
        <rFont val="Calibri"/>
        <family val="2"/>
        <scheme val="minor"/>
      </rPr>
      <t>.</t>
    </r>
    <r>
      <rPr>
        <sz val="11"/>
        <color rgb="FFFF0000"/>
        <rFont val="Calibri"/>
        <family val="2"/>
        <scheme val="minor"/>
      </rPr>
      <t>SPIGOTS</t>
    </r>
    <r>
      <rPr>
        <sz val="11"/>
        <color theme="1"/>
        <rFont val="Calibri"/>
        <family val="2"/>
        <scheme val="minor"/>
      </rPr>
      <t>) Φ(</t>
    </r>
    <r>
      <rPr>
        <sz val="11"/>
        <color rgb="FFFF0000"/>
        <rFont val="Calibri"/>
        <family val="2"/>
        <scheme val="minor"/>
      </rPr>
      <t>DIAMETER</t>
    </r>
    <r>
      <rPr>
        <sz val="11"/>
        <color theme="1"/>
        <rFont val="Calibri"/>
        <family val="2"/>
        <scheme val="minor"/>
      </rPr>
      <t xml:space="preserve">) ΟΝ ΤΗΕ </t>
    </r>
    <r>
      <rPr>
        <sz val="11"/>
        <color rgb="FFFF0000"/>
        <rFont val="Calibri"/>
        <family val="2"/>
        <scheme val="minor"/>
      </rPr>
      <t>BACK OR SIDE</t>
    </r>
    <r>
      <rPr>
        <sz val="11"/>
        <color theme="1"/>
        <rFont val="Calibri"/>
        <family val="2"/>
        <scheme val="minor"/>
      </rPr>
      <t xml:space="preserve"> </t>
    </r>
  </si>
  <si>
    <r>
      <t>C2020 65mm SUPPLY (</t>
    </r>
    <r>
      <rPr>
        <sz val="11"/>
        <color rgb="FFFF0000"/>
        <rFont val="Calibri"/>
        <family val="2"/>
        <scheme val="minor"/>
      </rPr>
      <t>LENGTH</t>
    </r>
    <r>
      <rPr>
        <sz val="11"/>
        <color theme="1"/>
        <rFont val="Calibri"/>
        <family val="2"/>
        <scheme val="minor"/>
      </rPr>
      <t>) WITH (</t>
    </r>
    <r>
      <rPr>
        <sz val="11"/>
        <color rgb="FFFF0000"/>
        <rFont val="Calibri"/>
        <family val="2"/>
        <scheme val="minor"/>
      </rPr>
      <t>No</t>
    </r>
    <r>
      <rPr>
        <sz val="11"/>
        <color theme="1"/>
        <rFont val="Calibri"/>
        <family val="2"/>
        <scheme val="minor"/>
      </rPr>
      <t>.</t>
    </r>
    <r>
      <rPr>
        <sz val="11"/>
        <color rgb="FFFF0000"/>
        <rFont val="Calibri"/>
        <family val="2"/>
        <scheme val="minor"/>
      </rPr>
      <t>SPIGOTS</t>
    </r>
    <r>
      <rPr>
        <sz val="11"/>
        <color theme="1"/>
        <rFont val="Calibri"/>
        <family val="2"/>
        <scheme val="minor"/>
      </rPr>
      <t>) Φ(</t>
    </r>
    <r>
      <rPr>
        <sz val="11"/>
        <color rgb="FFFF0000"/>
        <rFont val="Calibri"/>
        <family val="2"/>
        <scheme val="minor"/>
      </rPr>
      <t>DIAMETER</t>
    </r>
    <r>
      <rPr>
        <sz val="11"/>
        <color theme="1"/>
        <rFont val="Calibri"/>
        <family val="2"/>
        <scheme val="minor"/>
      </rPr>
      <t xml:space="preserve">) ΟΝ ΤΗΕ </t>
    </r>
    <r>
      <rPr>
        <sz val="11"/>
        <color rgb="FFFF0000"/>
        <rFont val="Calibri"/>
        <family val="2"/>
        <scheme val="minor"/>
      </rPr>
      <t>BACK OR SIDE</t>
    </r>
    <r>
      <rPr>
        <sz val="11"/>
        <color theme="1"/>
        <rFont val="Calibri"/>
        <family val="2"/>
        <scheme val="minor"/>
      </rPr>
      <t xml:space="preserve"> </t>
    </r>
  </si>
  <si>
    <t>DESCRIPTION</t>
  </si>
  <si>
    <t>PHOTO</t>
  </si>
  <si>
    <r>
      <t>C2020 20mm FREE RETURN (</t>
    </r>
    <r>
      <rPr>
        <sz val="11"/>
        <color rgb="FFFF0000"/>
        <rFont val="Calibri"/>
        <family val="2"/>
        <scheme val="minor"/>
      </rPr>
      <t>LENGTH</t>
    </r>
    <r>
      <rPr>
        <sz val="11"/>
        <color theme="1"/>
        <rFont val="Calibri"/>
        <family val="2"/>
        <scheme val="minor"/>
      </rPr>
      <t>)</t>
    </r>
  </si>
  <si>
    <r>
      <t>C2020 25mm FREE RETURN (</t>
    </r>
    <r>
      <rPr>
        <sz val="11"/>
        <color rgb="FFFF0000"/>
        <rFont val="Calibri"/>
        <family val="2"/>
        <scheme val="minor"/>
      </rPr>
      <t>LENGTH</t>
    </r>
    <r>
      <rPr>
        <sz val="11"/>
        <color theme="1"/>
        <rFont val="Calibri"/>
        <family val="2"/>
        <scheme val="minor"/>
      </rPr>
      <t>)</t>
    </r>
  </si>
  <si>
    <r>
      <t>C2020 30mm FREE RETURN (</t>
    </r>
    <r>
      <rPr>
        <sz val="11"/>
        <color rgb="FFFF0000"/>
        <rFont val="Calibri"/>
        <family val="2"/>
        <scheme val="minor"/>
      </rPr>
      <t>LENGTH</t>
    </r>
    <r>
      <rPr>
        <sz val="11"/>
        <color theme="1"/>
        <rFont val="Calibri"/>
        <family val="2"/>
        <scheme val="minor"/>
      </rPr>
      <t>)</t>
    </r>
  </si>
  <si>
    <r>
      <t>C2020 40mm FREE RETURN (</t>
    </r>
    <r>
      <rPr>
        <sz val="11"/>
        <color rgb="FFFF0000"/>
        <rFont val="Calibri"/>
        <family val="2"/>
        <scheme val="minor"/>
      </rPr>
      <t>LENGTH</t>
    </r>
    <r>
      <rPr>
        <sz val="11"/>
        <color theme="1"/>
        <rFont val="Calibri"/>
        <family val="2"/>
        <scheme val="minor"/>
      </rPr>
      <t>)</t>
    </r>
  </si>
  <si>
    <r>
      <t>C2020 50mm FREE RETURN (</t>
    </r>
    <r>
      <rPr>
        <sz val="11"/>
        <color rgb="FFFF0000"/>
        <rFont val="Calibri"/>
        <family val="2"/>
        <scheme val="minor"/>
      </rPr>
      <t>LENGTH</t>
    </r>
    <r>
      <rPr>
        <sz val="11"/>
        <color theme="1"/>
        <rFont val="Calibri"/>
        <family val="2"/>
        <scheme val="minor"/>
      </rPr>
      <t>)</t>
    </r>
  </si>
  <si>
    <r>
      <t>C2020 65mm FREE RETURN (</t>
    </r>
    <r>
      <rPr>
        <sz val="11"/>
        <color rgb="FFFF0000"/>
        <rFont val="Calibri"/>
        <family val="2"/>
        <scheme val="minor"/>
      </rPr>
      <t>LENGTH</t>
    </r>
    <r>
      <rPr>
        <sz val="11"/>
        <color theme="1"/>
        <rFont val="Calibri"/>
        <family val="2"/>
        <scheme val="minor"/>
      </rPr>
      <t>)</t>
    </r>
  </si>
  <si>
    <r>
      <t>C2020 25mm DUMMY (</t>
    </r>
    <r>
      <rPr>
        <sz val="11"/>
        <color rgb="FFFF0000"/>
        <rFont val="Calibri"/>
        <family val="2"/>
        <scheme val="minor"/>
      </rPr>
      <t>LENGTH</t>
    </r>
    <r>
      <rPr>
        <sz val="11"/>
        <color theme="1"/>
        <rFont val="Calibri"/>
        <family val="2"/>
        <scheme val="minor"/>
      </rPr>
      <t>)</t>
    </r>
  </si>
  <si>
    <r>
      <t>C2020 30mm DUMMY (</t>
    </r>
    <r>
      <rPr>
        <sz val="11"/>
        <color rgb="FFFF0000"/>
        <rFont val="Calibri"/>
        <family val="2"/>
        <scheme val="minor"/>
      </rPr>
      <t>LENGTH</t>
    </r>
    <r>
      <rPr>
        <sz val="11"/>
        <color theme="1"/>
        <rFont val="Calibri"/>
        <family val="2"/>
        <scheme val="minor"/>
      </rPr>
      <t>)</t>
    </r>
  </si>
  <si>
    <r>
      <t>C2020 20mm DUMMY (</t>
    </r>
    <r>
      <rPr>
        <sz val="11"/>
        <color rgb="FFFF0000"/>
        <rFont val="Calibri"/>
        <family val="2"/>
        <scheme val="minor"/>
      </rPr>
      <t>LENGTH</t>
    </r>
    <r>
      <rPr>
        <sz val="11"/>
        <color theme="1"/>
        <rFont val="Calibri"/>
        <family val="2"/>
        <scheme val="minor"/>
      </rPr>
      <t>)</t>
    </r>
  </si>
  <si>
    <r>
      <t>C2020 40mm DUMMY (</t>
    </r>
    <r>
      <rPr>
        <sz val="11"/>
        <color rgb="FFFF0000"/>
        <rFont val="Calibri"/>
        <family val="2"/>
        <scheme val="minor"/>
      </rPr>
      <t>LENGTH</t>
    </r>
    <r>
      <rPr>
        <sz val="11"/>
        <color theme="1"/>
        <rFont val="Calibri"/>
        <family val="2"/>
        <scheme val="minor"/>
      </rPr>
      <t>)</t>
    </r>
  </si>
  <si>
    <r>
      <t>C2020 50mm DUMMY (</t>
    </r>
    <r>
      <rPr>
        <sz val="11"/>
        <color rgb="FFFF0000"/>
        <rFont val="Calibri"/>
        <family val="2"/>
        <scheme val="minor"/>
      </rPr>
      <t>LENGTH</t>
    </r>
    <r>
      <rPr>
        <sz val="11"/>
        <color theme="1"/>
        <rFont val="Calibri"/>
        <family val="2"/>
        <scheme val="minor"/>
      </rPr>
      <t>)</t>
    </r>
  </si>
  <si>
    <r>
      <t>C2020 65mm DUMMY (</t>
    </r>
    <r>
      <rPr>
        <sz val="11"/>
        <color rgb="FFFF0000"/>
        <rFont val="Calibri"/>
        <family val="2"/>
        <scheme val="minor"/>
      </rPr>
      <t>LENGTH</t>
    </r>
    <r>
      <rPr>
        <sz val="11"/>
        <color theme="1"/>
        <rFont val="Calibri"/>
        <family val="2"/>
        <scheme val="minor"/>
      </rPr>
      <t>)</t>
    </r>
  </si>
  <si>
    <r>
      <t>C2020 20mm SUPPLY&amp;RETURN (</t>
    </r>
    <r>
      <rPr>
        <sz val="11"/>
        <color rgb="FFFF0000"/>
        <rFont val="Calibri"/>
        <family val="2"/>
        <scheme val="minor"/>
      </rPr>
      <t>FULL</t>
    </r>
    <r>
      <rPr>
        <sz val="11"/>
        <color theme="1"/>
        <rFont val="Calibri"/>
        <family val="2"/>
        <scheme val="minor"/>
      </rPr>
      <t xml:space="preserve"> </t>
    </r>
    <r>
      <rPr>
        <sz val="11"/>
        <color rgb="FFFF0000"/>
        <rFont val="Calibri"/>
        <family val="2"/>
        <scheme val="minor"/>
      </rPr>
      <t>LENGTH</t>
    </r>
    <r>
      <rPr>
        <sz val="11"/>
        <color theme="1"/>
        <rFont val="Calibri"/>
        <family val="2"/>
        <scheme val="minor"/>
      </rPr>
      <t>) WITH (</t>
    </r>
    <r>
      <rPr>
        <sz val="11"/>
        <color rgb="FFFF0000"/>
        <rFont val="Calibri"/>
        <family val="2"/>
        <scheme val="minor"/>
      </rPr>
      <t>No.SPIGOTS</t>
    </r>
    <r>
      <rPr>
        <sz val="11"/>
        <color theme="1"/>
        <rFont val="Calibri"/>
        <family val="2"/>
        <scheme val="minor"/>
      </rPr>
      <t>) Φ(</t>
    </r>
    <r>
      <rPr>
        <sz val="11"/>
        <color rgb="FFFF0000"/>
        <rFont val="Calibri"/>
        <family val="2"/>
        <scheme val="minor"/>
      </rPr>
      <t>DIAMETER</t>
    </r>
    <r>
      <rPr>
        <sz val="11"/>
        <color theme="1"/>
        <rFont val="Calibri"/>
        <family val="2"/>
        <scheme val="minor"/>
      </rPr>
      <t xml:space="preserve">) ΟΝ ΤΗΕ </t>
    </r>
    <r>
      <rPr>
        <sz val="11"/>
        <color rgb="FFFF0000"/>
        <rFont val="Calibri"/>
        <family val="2"/>
        <scheme val="minor"/>
      </rPr>
      <t>BACK OR SIDE</t>
    </r>
    <r>
      <rPr>
        <sz val="11"/>
        <color theme="1"/>
        <rFont val="Calibri"/>
        <family val="2"/>
        <scheme val="minor"/>
      </rPr>
      <t xml:space="preserve"> 
SG: (</t>
    </r>
    <r>
      <rPr>
        <sz val="11"/>
        <color rgb="FFFF0000"/>
        <rFont val="Calibri"/>
        <family val="2"/>
        <scheme val="minor"/>
      </rPr>
      <t>LENGTH</t>
    </r>
    <r>
      <rPr>
        <sz val="11"/>
        <color theme="1"/>
        <rFont val="Calibri"/>
        <family val="2"/>
        <scheme val="minor"/>
      </rPr>
      <t>) WITH (</t>
    </r>
    <r>
      <rPr>
        <sz val="11"/>
        <color rgb="FFFF0000"/>
        <rFont val="Calibri"/>
        <family val="2"/>
        <scheme val="minor"/>
      </rPr>
      <t>No.SPIGOTS</t>
    </r>
    <r>
      <rPr>
        <sz val="11"/>
        <color theme="1"/>
        <rFont val="Calibri"/>
        <family val="2"/>
        <scheme val="minor"/>
      </rPr>
      <t>) Φ(</t>
    </r>
    <r>
      <rPr>
        <sz val="11"/>
        <color rgb="FFFF0000"/>
        <rFont val="Calibri"/>
        <family val="2"/>
        <scheme val="minor"/>
      </rPr>
      <t>DIAMETER</t>
    </r>
    <r>
      <rPr>
        <sz val="11"/>
        <color theme="1"/>
        <rFont val="Calibri"/>
        <family val="2"/>
        <scheme val="minor"/>
      </rPr>
      <t xml:space="preserve">) ΟΝ ΤΗΕ </t>
    </r>
    <r>
      <rPr>
        <sz val="11"/>
        <color rgb="FFFF0000"/>
        <rFont val="Calibri"/>
        <family val="2"/>
        <scheme val="minor"/>
      </rPr>
      <t>BACK OR SIDE</t>
    </r>
    <r>
      <rPr>
        <sz val="11"/>
        <color theme="1"/>
        <rFont val="Calibri"/>
        <family val="2"/>
        <scheme val="minor"/>
      </rPr>
      <t xml:space="preserve">
RG: (</t>
    </r>
    <r>
      <rPr>
        <sz val="11"/>
        <color rgb="FFFF0000"/>
        <rFont val="Calibri"/>
        <family val="2"/>
        <scheme val="minor"/>
      </rPr>
      <t>LENGTH</t>
    </r>
    <r>
      <rPr>
        <sz val="11"/>
        <color theme="1"/>
        <rFont val="Calibri"/>
        <family val="2"/>
        <scheme val="minor"/>
      </rPr>
      <t>)</t>
    </r>
  </si>
  <si>
    <r>
      <t>C2020 25mm SUPPLY&amp;RETURN (</t>
    </r>
    <r>
      <rPr>
        <sz val="11"/>
        <color rgb="FFFF0000"/>
        <rFont val="Calibri"/>
        <family val="2"/>
        <scheme val="minor"/>
      </rPr>
      <t>FULL</t>
    </r>
    <r>
      <rPr>
        <sz val="11"/>
        <color theme="1"/>
        <rFont val="Calibri"/>
        <family val="2"/>
        <scheme val="minor"/>
      </rPr>
      <t xml:space="preserve"> </t>
    </r>
    <r>
      <rPr>
        <sz val="11"/>
        <color rgb="FFFF0000"/>
        <rFont val="Calibri"/>
        <family val="2"/>
        <scheme val="minor"/>
      </rPr>
      <t>LENGTH</t>
    </r>
    <r>
      <rPr>
        <sz val="11"/>
        <color theme="1"/>
        <rFont val="Calibri"/>
        <family val="2"/>
        <scheme val="minor"/>
      </rPr>
      <t>) WITH (</t>
    </r>
    <r>
      <rPr>
        <sz val="11"/>
        <color rgb="FFFF0000"/>
        <rFont val="Calibri"/>
        <family val="2"/>
        <scheme val="minor"/>
      </rPr>
      <t>No.SPIGOTS</t>
    </r>
    <r>
      <rPr>
        <sz val="11"/>
        <color theme="1"/>
        <rFont val="Calibri"/>
        <family val="2"/>
        <scheme val="minor"/>
      </rPr>
      <t>) Φ(</t>
    </r>
    <r>
      <rPr>
        <sz val="11"/>
        <color rgb="FFFF0000"/>
        <rFont val="Calibri"/>
        <family val="2"/>
        <scheme val="minor"/>
      </rPr>
      <t>DIAMETER</t>
    </r>
    <r>
      <rPr>
        <sz val="11"/>
        <color theme="1"/>
        <rFont val="Calibri"/>
        <family val="2"/>
        <scheme val="minor"/>
      </rPr>
      <t xml:space="preserve">) ΟΝ ΤΗΕ </t>
    </r>
    <r>
      <rPr>
        <sz val="11"/>
        <color rgb="FFFF0000"/>
        <rFont val="Calibri"/>
        <family val="2"/>
        <scheme val="minor"/>
      </rPr>
      <t>BACK OR SIDE</t>
    </r>
    <r>
      <rPr>
        <sz val="11"/>
        <color theme="1"/>
        <rFont val="Calibri"/>
        <family val="2"/>
        <scheme val="minor"/>
      </rPr>
      <t xml:space="preserve"> 
SG: (</t>
    </r>
    <r>
      <rPr>
        <sz val="11"/>
        <color rgb="FFFF0000"/>
        <rFont val="Calibri"/>
        <family val="2"/>
        <scheme val="minor"/>
      </rPr>
      <t>LENGTH</t>
    </r>
    <r>
      <rPr>
        <sz val="11"/>
        <color theme="1"/>
        <rFont val="Calibri"/>
        <family val="2"/>
        <scheme val="minor"/>
      </rPr>
      <t>) WITH (</t>
    </r>
    <r>
      <rPr>
        <sz val="11"/>
        <color rgb="FFFF0000"/>
        <rFont val="Calibri"/>
        <family val="2"/>
        <scheme val="minor"/>
      </rPr>
      <t>No.SPIGOTS</t>
    </r>
    <r>
      <rPr>
        <sz val="11"/>
        <color theme="1"/>
        <rFont val="Calibri"/>
        <family val="2"/>
        <scheme val="minor"/>
      </rPr>
      <t>) Φ(</t>
    </r>
    <r>
      <rPr>
        <sz val="11"/>
        <color rgb="FFFF0000"/>
        <rFont val="Calibri"/>
        <family val="2"/>
        <scheme val="minor"/>
      </rPr>
      <t>DIAMETER</t>
    </r>
    <r>
      <rPr>
        <sz val="11"/>
        <color theme="1"/>
        <rFont val="Calibri"/>
        <family val="2"/>
        <scheme val="minor"/>
      </rPr>
      <t xml:space="preserve">) ΟΝ ΤΗΕ </t>
    </r>
    <r>
      <rPr>
        <sz val="11"/>
        <color rgb="FFFF0000"/>
        <rFont val="Calibri"/>
        <family val="2"/>
        <scheme val="minor"/>
      </rPr>
      <t>BACK OR SIDE</t>
    </r>
    <r>
      <rPr>
        <sz val="11"/>
        <color theme="1"/>
        <rFont val="Calibri"/>
        <family val="2"/>
        <scheme val="minor"/>
      </rPr>
      <t xml:space="preserve">
RG: (</t>
    </r>
    <r>
      <rPr>
        <sz val="11"/>
        <color rgb="FFFF0000"/>
        <rFont val="Calibri"/>
        <family val="2"/>
        <scheme val="minor"/>
      </rPr>
      <t>LENGTH</t>
    </r>
    <r>
      <rPr>
        <sz val="11"/>
        <color theme="1"/>
        <rFont val="Calibri"/>
        <family val="2"/>
        <scheme val="minor"/>
      </rPr>
      <t>)</t>
    </r>
  </si>
  <si>
    <r>
      <t>C2020 30mm SUPPLY&amp;RETURN (</t>
    </r>
    <r>
      <rPr>
        <sz val="11"/>
        <color rgb="FFFF0000"/>
        <rFont val="Calibri"/>
        <family val="2"/>
        <scheme val="minor"/>
      </rPr>
      <t>FULL</t>
    </r>
    <r>
      <rPr>
        <sz val="11"/>
        <color theme="1"/>
        <rFont val="Calibri"/>
        <family val="2"/>
        <scheme val="minor"/>
      </rPr>
      <t xml:space="preserve"> </t>
    </r>
    <r>
      <rPr>
        <sz val="11"/>
        <color rgb="FFFF0000"/>
        <rFont val="Calibri"/>
        <family val="2"/>
        <scheme val="minor"/>
      </rPr>
      <t>LENGTH</t>
    </r>
    <r>
      <rPr>
        <sz val="11"/>
        <color theme="1"/>
        <rFont val="Calibri"/>
        <family val="2"/>
        <scheme val="minor"/>
      </rPr>
      <t>) WITH (</t>
    </r>
    <r>
      <rPr>
        <sz val="11"/>
        <color rgb="FFFF0000"/>
        <rFont val="Calibri"/>
        <family val="2"/>
        <scheme val="minor"/>
      </rPr>
      <t>No.SPIGOTS</t>
    </r>
    <r>
      <rPr>
        <sz val="11"/>
        <color theme="1"/>
        <rFont val="Calibri"/>
        <family val="2"/>
        <scheme val="minor"/>
      </rPr>
      <t>) Φ(</t>
    </r>
    <r>
      <rPr>
        <sz val="11"/>
        <color rgb="FFFF0000"/>
        <rFont val="Calibri"/>
        <family val="2"/>
        <scheme val="minor"/>
      </rPr>
      <t>DIAMETER</t>
    </r>
    <r>
      <rPr>
        <sz val="11"/>
        <color theme="1"/>
        <rFont val="Calibri"/>
        <family val="2"/>
        <scheme val="minor"/>
      </rPr>
      <t xml:space="preserve">) ΟΝ ΤΗΕ </t>
    </r>
    <r>
      <rPr>
        <sz val="11"/>
        <color rgb="FFFF0000"/>
        <rFont val="Calibri"/>
        <family val="2"/>
        <scheme val="minor"/>
      </rPr>
      <t>BACK OR SIDE</t>
    </r>
    <r>
      <rPr>
        <sz val="11"/>
        <color theme="1"/>
        <rFont val="Calibri"/>
        <family val="2"/>
        <scheme val="minor"/>
      </rPr>
      <t xml:space="preserve"> 
SG: (</t>
    </r>
    <r>
      <rPr>
        <sz val="11"/>
        <color rgb="FFFF0000"/>
        <rFont val="Calibri"/>
        <family val="2"/>
        <scheme val="minor"/>
      </rPr>
      <t>LENGTH</t>
    </r>
    <r>
      <rPr>
        <sz val="11"/>
        <color theme="1"/>
        <rFont val="Calibri"/>
        <family val="2"/>
        <scheme val="minor"/>
      </rPr>
      <t>) WITH (</t>
    </r>
    <r>
      <rPr>
        <sz val="11"/>
        <color rgb="FFFF0000"/>
        <rFont val="Calibri"/>
        <family val="2"/>
        <scheme val="minor"/>
      </rPr>
      <t>No.SPIGOTS</t>
    </r>
    <r>
      <rPr>
        <sz val="11"/>
        <color theme="1"/>
        <rFont val="Calibri"/>
        <family val="2"/>
        <scheme val="minor"/>
      </rPr>
      <t>) Φ(</t>
    </r>
    <r>
      <rPr>
        <sz val="11"/>
        <color rgb="FFFF0000"/>
        <rFont val="Calibri"/>
        <family val="2"/>
        <scheme val="minor"/>
      </rPr>
      <t>DIAMETER</t>
    </r>
    <r>
      <rPr>
        <sz val="11"/>
        <color theme="1"/>
        <rFont val="Calibri"/>
        <family val="2"/>
        <scheme val="minor"/>
      </rPr>
      <t xml:space="preserve">) ΟΝ ΤΗΕ </t>
    </r>
    <r>
      <rPr>
        <sz val="11"/>
        <color rgb="FFFF0000"/>
        <rFont val="Calibri"/>
        <family val="2"/>
        <scheme val="minor"/>
      </rPr>
      <t>BACK OR SIDE</t>
    </r>
    <r>
      <rPr>
        <sz val="11"/>
        <color theme="1"/>
        <rFont val="Calibri"/>
        <family val="2"/>
        <scheme val="minor"/>
      </rPr>
      <t xml:space="preserve">
RG: (</t>
    </r>
    <r>
      <rPr>
        <sz val="11"/>
        <color rgb="FFFF0000"/>
        <rFont val="Calibri"/>
        <family val="2"/>
        <scheme val="minor"/>
      </rPr>
      <t>LENGTH</t>
    </r>
    <r>
      <rPr>
        <sz val="11"/>
        <color theme="1"/>
        <rFont val="Calibri"/>
        <family val="2"/>
        <scheme val="minor"/>
      </rPr>
      <t>)</t>
    </r>
  </si>
  <si>
    <r>
      <t>C2020 40mm SUPPLY&amp;RETURN (</t>
    </r>
    <r>
      <rPr>
        <sz val="11"/>
        <color rgb="FFFF0000"/>
        <rFont val="Calibri"/>
        <family val="2"/>
        <scheme val="minor"/>
      </rPr>
      <t>FULL</t>
    </r>
    <r>
      <rPr>
        <sz val="11"/>
        <color theme="1"/>
        <rFont val="Calibri"/>
        <family val="2"/>
        <scheme val="minor"/>
      </rPr>
      <t xml:space="preserve"> </t>
    </r>
    <r>
      <rPr>
        <sz val="11"/>
        <color rgb="FFFF0000"/>
        <rFont val="Calibri"/>
        <family val="2"/>
        <scheme val="minor"/>
      </rPr>
      <t>LENGTH</t>
    </r>
    <r>
      <rPr>
        <sz val="11"/>
        <color theme="1"/>
        <rFont val="Calibri"/>
        <family val="2"/>
        <scheme val="minor"/>
      </rPr>
      <t>) WITH (</t>
    </r>
    <r>
      <rPr>
        <sz val="11"/>
        <color rgb="FFFF0000"/>
        <rFont val="Calibri"/>
        <family val="2"/>
        <scheme val="minor"/>
      </rPr>
      <t>No.SPIGOTS</t>
    </r>
    <r>
      <rPr>
        <sz val="11"/>
        <color theme="1"/>
        <rFont val="Calibri"/>
        <family val="2"/>
        <scheme val="minor"/>
      </rPr>
      <t>) Φ(</t>
    </r>
    <r>
      <rPr>
        <sz val="11"/>
        <color rgb="FFFF0000"/>
        <rFont val="Calibri"/>
        <family val="2"/>
        <scheme val="minor"/>
      </rPr>
      <t>DIAMETER</t>
    </r>
    <r>
      <rPr>
        <sz val="11"/>
        <color theme="1"/>
        <rFont val="Calibri"/>
        <family val="2"/>
        <scheme val="minor"/>
      </rPr>
      <t xml:space="preserve">) ΟΝ ΤΗΕ </t>
    </r>
    <r>
      <rPr>
        <sz val="11"/>
        <color rgb="FFFF0000"/>
        <rFont val="Calibri"/>
        <family val="2"/>
        <scheme val="minor"/>
      </rPr>
      <t>BACK OR SIDE</t>
    </r>
    <r>
      <rPr>
        <sz val="11"/>
        <color theme="1"/>
        <rFont val="Calibri"/>
        <family val="2"/>
        <scheme val="minor"/>
      </rPr>
      <t xml:space="preserve"> 
SG: (</t>
    </r>
    <r>
      <rPr>
        <sz val="11"/>
        <color rgb="FFFF0000"/>
        <rFont val="Calibri"/>
        <family val="2"/>
        <scheme val="minor"/>
      </rPr>
      <t>LENGTH</t>
    </r>
    <r>
      <rPr>
        <sz val="11"/>
        <color theme="1"/>
        <rFont val="Calibri"/>
        <family val="2"/>
        <scheme val="minor"/>
      </rPr>
      <t>) WITH (</t>
    </r>
    <r>
      <rPr>
        <sz val="11"/>
        <color rgb="FFFF0000"/>
        <rFont val="Calibri"/>
        <family val="2"/>
        <scheme val="minor"/>
      </rPr>
      <t>No.SPIGOTS</t>
    </r>
    <r>
      <rPr>
        <sz val="11"/>
        <color theme="1"/>
        <rFont val="Calibri"/>
        <family val="2"/>
        <scheme val="minor"/>
      </rPr>
      <t>) Φ(</t>
    </r>
    <r>
      <rPr>
        <sz val="11"/>
        <color rgb="FFFF0000"/>
        <rFont val="Calibri"/>
        <family val="2"/>
        <scheme val="minor"/>
      </rPr>
      <t>DIAMETER</t>
    </r>
    <r>
      <rPr>
        <sz val="11"/>
        <color theme="1"/>
        <rFont val="Calibri"/>
        <family val="2"/>
        <scheme val="minor"/>
      </rPr>
      <t xml:space="preserve">) ΟΝ ΤΗΕ </t>
    </r>
    <r>
      <rPr>
        <sz val="11"/>
        <color rgb="FFFF0000"/>
        <rFont val="Calibri"/>
        <family val="2"/>
        <scheme val="minor"/>
      </rPr>
      <t>BACK OR SIDE</t>
    </r>
    <r>
      <rPr>
        <sz val="11"/>
        <color theme="1"/>
        <rFont val="Calibri"/>
        <family val="2"/>
        <scheme val="minor"/>
      </rPr>
      <t xml:space="preserve">
RG: (</t>
    </r>
    <r>
      <rPr>
        <sz val="11"/>
        <color rgb="FFFF0000"/>
        <rFont val="Calibri"/>
        <family val="2"/>
        <scheme val="minor"/>
      </rPr>
      <t>LENGTH</t>
    </r>
    <r>
      <rPr>
        <sz val="11"/>
        <color theme="1"/>
        <rFont val="Calibri"/>
        <family val="2"/>
        <scheme val="minor"/>
      </rPr>
      <t>)</t>
    </r>
  </si>
  <si>
    <r>
      <t>C2020 50mm SUPPLY&amp;RETURN (</t>
    </r>
    <r>
      <rPr>
        <sz val="11"/>
        <color rgb="FFFF0000"/>
        <rFont val="Calibri"/>
        <family val="2"/>
        <scheme val="minor"/>
      </rPr>
      <t>FULL</t>
    </r>
    <r>
      <rPr>
        <sz val="11"/>
        <color theme="1"/>
        <rFont val="Calibri"/>
        <family val="2"/>
        <scheme val="minor"/>
      </rPr>
      <t xml:space="preserve"> </t>
    </r>
    <r>
      <rPr>
        <sz val="11"/>
        <color rgb="FFFF0000"/>
        <rFont val="Calibri"/>
        <family val="2"/>
        <scheme val="minor"/>
      </rPr>
      <t>LENGTH</t>
    </r>
    <r>
      <rPr>
        <sz val="11"/>
        <color theme="1"/>
        <rFont val="Calibri"/>
        <family val="2"/>
        <scheme val="minor"/>
      </rPr>
      <t>) WITH (</t>
    </r>
    <r>
      <rPr>
        <sz val="11"/>
        <color rgb="FFFF0000"/>
        <rFont val="Calibri"/>
        <family val="2"/>
        <scheme val="minor"/>
      </rPr>
      <t>No.SPIGOTS</t>
    </r>
    <r>
      <rPr>
        <sz val="11"/>
        <color theme="1"/>
        <rFont val="Calibri"/>
        <family val="2"/>
        <scheme val="minor"/>
      </rPr>
      <t>) Φ(</t>
    </r>
    <r>
      <rPr>
        <sz val="11"/>
        <color rgb="FFFF0000"/>
        <rFont val="Calibri"/>
        <family val="2"/>
        <scheme val="minor"/>
      </rPr>
      <t>DIAMETER</t>
    </r>
    <r>
      <rPr>
        <sz val="11"/>
        <color theme="1"/>
        <rFont val="Calibri"/>
        <family val="2"/>
        <scheme val="minor"/>
      </rPr>
      <t xml:space="preserve">) ΟΝ ΤΗΕ </t>
    </r>
    <r>
      <rPr>
        <sz val="11"/>
        <color rgb="FFFF0000"/>
        <rFont val="Calibri"/>
        <family val="2"/>
        <scheme val="minor"/>
      </rPr>
      <t>BACK OR SIDE</t>
    </r>
    <r>
      <rPr>
        <sz val="11"/>
        <color theme="1"/>
        <rFont val="Calibri"/>
        <family val="2"/>
        <scheme val="minor"/>
      </rPr>
      <t xml:space="preserve"> 
SG: (</t>
    </r>
    <r>
      <rPr>
        <sz val="11"/>
        <color rgb="FFFF0000"/>
        <rFont val="Calibri"/>
        <family val="2"/>
        <scheme val="minor"/>
      </rPr>
      <t>LENGTH</t>
    </r>
    <r>
      <rPr>
        <sz val="11"/>
        <color theme="1"/>
        <rFont val="Calibri"/>
        <family val="2"/>
        <scheme val="minor"/>
      </rPr>
      <t>) WITH (</t>
    </r>
    <r>
      <rPr>
        <sz val="11"/>
        <color rgb="FFFF0000"/>
        <rFont val="Calibri"/>
        <family val="2"/>
        <scheme val="minor"/>
      </rPr>
      <t>No.SPIGOTS</t>
    </r>
    <r>
      <rPr>
        <sz val="11"/>
        <color theme="1"/>
        <rFont val="Calibri"/>
        <family val="2"/>
        <scheme val="minor"/>
      </rPr>
      <t>) Φ(</t>
    </r>
    <r>
      <rPr>
        <sz val="11"/>
        <color rgb="FFFF0000"/>
        <rFont val="Calibri"/>
        <family val="2"/>
        <scheme val="minor"/>
      </rPr>
      <t>DIAMETER</t>
    </r>
    <r>
      <rPr>
        <sz val="11"/>
        <color theme="1"/>
        <rFont val="Calibri"/>
        <family val="2"/>
        <scheme val="minor"/>
      </rPr>
      <t xml:space="preserve">) ΟΝ ΤΗΕ </t>
    </r>
    <r>
      <rPr>
        <sz val="11"/>
        <color rgb="FFFF0000"/>
        <rFont val="Calibri"/>
        <family val="2"/>
        <scheme val="minor"/>
      </rPr>
      <t>BACK OR SIDE</t>
    </r>
    <r>
      <rPr>
        <sz val="11"/>
        <color theme="1"/>
        <rFont val="Calibri"/>
        <family val="2"/>
        <scheme val="minor"/>
      </rPr>
      <t xml:space="preserve">
RG: (</t>
    </r>
    <r>
      <rPr>
        <sz val="11"/>
        <color rgb="FFFF0000"/>
        <rFont val="Calibri"/>
        <family val="2"/>
        <scheme val="minor"/>
      </rPr>
      <t>LENGTH</t>
    </r>
    <r>
      <rPr>
        <sz val="11"/>
        <color theme="1"/>
        <rFont val="Calibri"/>
        <family val="2"/>
        <scheme val="minor"/>
      </rPr>
      <t>)</t>
    </r>
  </si>
  <si>
    <r>
      <t>C2020 65mm SUPPLY&amp;RETURN (</t>
    </r>
    <r>
      <rPr>
        <sz val="11"/>
        <color rgb="FFFF0000"/>
        <rFont val="Calibri"/>
        <family val="2"/>
        <scheme val="minor"/>
      </rPr>
      <t>FULL</t>
    </r>
    <r>
      <rPr>
        <sz val="11"/>
        <color theme="1"/>
        <rFont val="Calibri"/>
        <family val="2"/>
        <scheme val="minor"/>
      </rPr>
      <t xml:space="preserve"> </t>
    </r>
    <r>
      <rPr>
        <sz val="11"/>
        <color rgb="FFFF0000"/>
        <rFont val="Calibri"/>
        <family val="2"/>
        <scheme val="minor"/>
      </rPr>
      <t>LENGTH</t>
    </r>
    <r>
      <rPr>
        <sz val="11"/>
        <color theme="1"/>
        <rFont val="Calibri"/>
        <family val="2"/>
        <scheme val="minor"/>
      </rPr>
      <t>) WITH (</t>
    </r>
    <r>
      <rPr>
        <sz val="11"/>
        <color rgb="FFFF0000"/>
        <rFont val="Calibri"/>
        <family val="2"/>
        <scheme val="minor"/>
      </rPr>
      <t>No.SPIGOTS</t>
    </r>
    <r>
      <rPr>
        <sz val="11"/>
        <color theme="1"/>
        <rFont val="Calibri"/>
        <family val="2"/>
        <scheme val="minor"/>
      </rPr>
      <t>) Φ(</t>
    </r>
    <r>
      <rPr>
        <sz val="11"/>
        <color rgb="FFFF0000"/>
        <rFont val="Calibri"/>
        <family val="2"/>
        <scheme val="minor"/>
      </rPr>
      <t>DIAMETER</t>
    </r>
    <r>
      <rPr>
        <sz val="11"/>
        <color theme="1"/>
        <rFont val="Calibri"/>
        <family val="2"/>
        <scheme val="minor"/>
      </rPr>
      <t xml:space="preserve">) ΟΝ ΤΗΕ </t>
    </r>
    <r>
      <rPr>
        <sz val="11"/>
        <color rgb="FFFF0000"/>
        <rFont val="Calibri"/>
        <family val="2"/>
        <scheme val="minor"/>
      </rPr>
      <t>BACK OR SIDE</t>
    </r>
    <r>
      <rPr>
        <sz val="11"/>
        <color theme="1"/>
        <rFont val="Calibri"/>
        <family val="2"/>
        <scheme val="minor"/>
      </rPr>
      <t xml:space="preserve"> 
SG: (</t>
    </r>
    <r>
      <rPr>
        <sz val="11"/>
        <color rgb="FFFF0000"/>
        <rFont val="Calibri"/>
        <family val="2"/>
        <scheme val="minor"/>
      </rPr>
      <t>LENGTH</t>
    </r>
    <r>
      <rPr>
        <sz val="11"/>
        <color theme="1"/>
        <rFont val="Calibri"/>
        <family val="2"/>
        <scheme val="minor"/>
      </rPr>
      <t>) WITH (</t>
    </r>
    <r>
      <rPr>
        <sz val="11"/>
        <color rgb="FFFF0000"/>
        <rFont val="Calibri"/>
        <family val="2"/>
        <scheme val="minor"/>
      </rPr>
      <t>No.SPIGOTS</t>
    </r>
    <r>
      <rPr>
        <sz val="11"/>
        <color theme="1"/>
        <rFont val="Calibri"/>
        <family val="2"/>
        <scheme val="minor"/>
      </rPr>
      <t>) Φ(</t>
    </r>
    <r>
      <rPr>
        <sz val="11"/>
        <color rgb="FFFF0000"/>
        <rFont val="Calibri"/>
        <family val="2"/>
        <scheme val="minor"/>
      </rPr>
      <t>DIAMETER</t>
    </r>
    <r>
      <rPr>
        <sz val="11"/>
        <color theme="1"/>
        <rFont val="Calibri"/>
        <family val="2"/>
        <scheme val="minor"/>
      </rPr>
      <t xml:space="preserve">) ΟΝ ΤΗΕ </t>
    </r>
    <r>
      <rPr>
        <sz val="11"/>
        <color rgb="FFFF0000"/>
        <rFont val="Calibri"/>
        <family val="2"/>
        <scheme val="minor"/>
      </rPr>
      <t>BACK OR SIDE</t>
    </r>
    <r>
      <rPr>
        <sz val="11"/>
        <color theme="1"/>
        <rFont val="Calibri"/>
        <family val="2"/>
        <scheme val="minor"/>
      </rPr>
      <t xml:space="preserve">
RG: (</t>
    </r>
    <r>
      <rPr>
        <sz val="11"/>
        <color rgb="FFFF0000"/>
        <rFont val="Calibri"/>
        <family val="2"/>
        <scheme val="minor"/>
      </rPr>
      <t>LENGTH</t>
    </r>
    <r>
      <rPr>
        <sz val="11"/>
        <color theme="1"/>
        <rFont val="Calibri"/>
        <family val="2"/>
        <scheme val="minor"/>
      </rPr>
      <t>)</t>
    </r>
  </si>
  <si>
    <r>
      <t>C2020 (</t>
    </r>
    <r>
      <rPr>
        <sz val="11"/>
        <color rgb="FFFF0000"/>
        <rFont val="Calibri"/>
        <family val="2"/>
        <scheme val="minor"/>
      </rPr>
      <t>OPENING LENGTH</t>
    </r>
    <r>
      <rPr>
        <sz val="11"/>
        <color theme="1"/>
        <rFont val="Calibri"/>
        <family val="2"/>
        <scheme val="minor"/>
      </rPr>
      <t xml:space="preserve">) DUMMY CORNER </t>
    </r>
    <r>
      <rPr>
        <sz val="11"/>
        <color rgb="FFFF0000"/>
        <rFont val="Calibri"/>
        <family val="2"/>
        <scheme val="minor"/>
      </rPr>
      <t>90</t>
    </r>
    <r>
      <rPr>
        <sz val="11"/>
        <color rgb="FFFF0000"/>
        <rFont val="Century Gothic"/>
        <family val="2"/>
      </rPr>
      <t>°</t>
    </r>
    <r>
      <rPr>
        <sz val="11"/>
        <color rgb="FFFF0000"/>
        <rFont val="Calibri"/>
        <family val="2"/>
      </rPr>
      <t xml:space="preserve"> </t>
    </r>
    <r>
      <rPr>
        <sz val="11"/>
        <color theme="1"/>
        <rFont val="Calibri"/>
        <family val="2"/>
        <scheme val="minor"/>
      </rPr>
      <t>(</t>
    </r>
    <r>
      <rPr>
        <sz val="11"/>
        <color rgb="FFFF0000"/>
        <rFont val="Calibri"/>
        <family val="2"/>
        <scheme val="minor"/>
      </rPr>
      <t>LENGTH</t>
    </r>
    <r>
      <rPr>
        <sz val="11"/>
        <color theme="1"/>
        <rFont val="Calibri"/>
        <family val="2"/>
        <scheme val="minor"/>
      </rPr>
      <t>)</t>
    </r>
  </si>
  <si>
    <r>
      <t>C2020 (</t>
    </r>
    <r>
      <rPr>
        <sz val="11"/>
        <color rgb="FFFF0000"/>
        <rFont val="Calibri"/>
        <family val="2"/>
        <scheme val="minor"/>
      </rPr>
      <t>OPENING LENGTH</t>
    </r>
    <r>
      <rPr>
        <sz val="11"/>
        <color theme="1"/>
        <rFont val="Calibri"/>
        <family val="2"/>
        <scheme val="minor"/>
      </rPr>
      <t xml:space="preserve">) DUMMY CORNER </t>
    </r>
    <r>
      <rPr>
        <sz val="11"/>
        <color rgb="FFFF0000"/>
        <rFont val="Calibri"/>
        <family val="2"/>
        <scheme val="minor"/>
      </rPr>
      <t xml:space="preserve">135° </t>
    </r>
    <r>
      <rPr>
        <sz val="11"/>
        <color theme="1"/>
        <rFont val="Calibri"/>
        <family val="2"/>
        <scheme val="minor"/>
      </rPr>
      <t>(</t>
    </r>
    <r>
      <rPr>
        <sz val="11"/>
        <color rgb="FFFF0000"/>
        <rFont val="Calibri"/>
        <family val="2"/>
        <scheme val="minor"/>
      </rPr>
      <t>LENGTH</t>
    </r>
    <r>
      <rPr>
        <sz val="11"/>
        <color theme="1"/>
        <rFont val="Calibri"/>
        <family val="2"/>
        <scheme val="minor"/>
      </rPr>
      <t>)</t>
    </r>
  </si>
  <si>
    <r>
      <t>C2020 (</t>
    </r>
    <r>
      <rPr>
        <sz val="11"/>
        <color rgb="FFFF0000"/>
        <rFont val="Calibri"/>
        <family val="2"/>
        <scheme val="minor"/>
      </rPr>
      <t>OPENING LENGTH</t>
    </r>
    <r>
      <rPr>
        <sz val="11"/>
        <color theme="1"/>
        <rFont val="Calibri"/>
        <family val="2"/>
        <scheme val="minor"/>
      </rPr>
      <t xml:space="preserve">) DUMMY CORNER </t>
    </r>
    <r>
      <rPr>
        <sz val="11"/>
        <color rgb="FFFF0000"/>
        <rFont val="Calibri"/>
        <family val="2"/>
        <scheme val="minor"/>
      </rPr>
      <t>90°</t>
    </r>
    <r>
      <rPr>
        <sz val="11"/>
        <rFont val="Calibri"/>
        <family val="2"/>
        <scheme val="minor"/>
      </rPr>
      <t xml:space="preserve"> (</t>
    </r>
    <r>
      <rPr>
        <sz val="11"/>
        <color rgb="FFFF0000"/>
        <rFont val="Calibri"/>
        <family val="2"/>
        <scheme val="minor"/>
      </rPr>
      <t>LENGTH</t>
    </r>
    <r>
      <rPr>
        <sz val="11"/>
        <rFont val="Calibri"/>
        <family val="2"/>
        <scheme val="minor"/>
      </rPr>
      <t>)</t>
    </r>
    <r>
      <rPr>
        <sz val="11"/>
        <color theme="1"/>
        <rFont val="Calibri"/>
        <family val="2"/>
        <scheme val="minor"/>
      </rPr>
      <t xml:space="preserve">
</t>
    </r>
    <r>
      <rPr>
        <sz val="11"/>
        <color rgb="FFFF0000"/>
        <rFont val="Calibri"/>
        <family val="2"/>
        <scheme val="minor"/>
      </rPr>
      <t xml:space="preserve">*FRONTAL </t>
    </r>
  </si>
  <si>
    <r>
      <t>C2020 (</t>
    </r>
    <r>
      <rPr>
        <sz val="11"/>
        <color rgb="FFFF0000"/>
        <rFont val="Calibri"/>
        <family val="2"/>
        <scheme val="minor"/>
      </rPr>
      <t>OPENING LENGTH</t>
    </r>
    <r>
      <rPr>
        <sz val="11"/>
        <color theme="1"/>
        <rFont val="Calibri"/>
        <family val="2"/>
        <scheme val="minor"/>
      </rPr>
      <t>) DUMMY CORNER</t>
    </r>
    <r>
      <rPr>
        <sz val="11"/>
        <color rgb="FFFF0000"/>
        <rFont val="Calibri"/>
        <family val="2"/>
        <scheme val="minor"/>
      </rPr>
      <t xml:space="preserve"> 90° </t>
    </r>
    <r>
      <rPr>
        <sz val="11"/>
        <rFont val="Calibri"/>
        <family val="2"/>
        <scheme val="minor"/>
      </rPr>
      <t>(</t>
    </r>
    <r>
      <rPr>
        <sz val="11"/>
        <color rgb="FFFF0000"/>
        <rFont val="Calibri"/>
        <family val="2"/>
        <scheme val="minor"/>
      </rPr>
      <t>LENGTH</t>
    </r>
    <r>
      <rPr>
        <sz val="11"/>
        <rFont val="Calibri"/>
        <family val="2"/>
        <scheme val="minor"/>
      </rPr>
      <t>)</t>
    </r>
    <r>
      <rPr>
        <sz val="11"/>
        <color theme="1"/>
        <rFont val="Calibri"/>
        <family val="2"/>
        <scheme val="minor"/>
      </rPr>
      <t xml:space="preserve">
</t>
    </r>
    <r>
      <rPr>
        <sz val="11"/>
        <color rgb="FFFF0000"/>
        <rFont val="Calibri"/>
        <family val="2"/>
        <scheme val="minor"/>
      </rPr>
      <t>*FRONTAL 2</t>
    </r>
  </si>
  <si>
    <r>
      <t>C2020 (</t>
    </r>
    <r>
      <rPr>
        <sz val="11"/>
        <color rgb="FFFF0000"/>
        <rFont val="Calibri"/>
        <family val="2"/>
        <scheme val="minor"/>
      </rPr>
      <t>OPENING LENGTH</t>
    </r>
    <r>
      <rPr>
        <sz val="11"/>
        <color theme="1"/>
        <rFont val="Calibri"/>
        <family val="2"/>
        <scheme val="minor"/>
      </rPr>
      <t xml:space="preserve">) DUMMY CORNER </t>
    </r>
    <r>
      <rPr>
        <sz val="11"/>
        <color rgb="FFFF0000"/>
        <rFont val="Calibri"/>
        <family val="2"/>
        <scheme val="minor"/>
      </rPr>
      <t xml:space="preserve">135° </t>
    </r>
    <r>
      <rPr>
        <sz val="11"/>
        <rFont val="Calibri"/>
        <family val="2"/>
        <scheme val="minor"/>
      </rPr>
      <t>(</t>
    </r>
    <r>
      <rPr>
        <sz val="11"/>
        <color rgb="FFFF0000"/>
        <rFont val="Calibri"/>
        <family val="2"/>
        <scheme val="minor"/>
      </rPr>
      <t>LENGTH</t>
    </r>
    <r>
      <rPr>
        <sz val="11"/>
        <rFont val="Calibri"/>
        <family val="2"/>
        <scheme val="minor"/>
      </rPr>
      <t>)</t>
    </r>
    <r>
      <rPr>
        <sz val="11"/>
        <color theme="1"/>
        <rFont val="Calibri"/>
        <family val="2"/>
        <scheme val="minor"/>
      </rPr>
      <t xml:space="preserve">
</t>
    </r>
    <r>
      <rPr>
        <sz val="11"/>
        <color rgb="FFFF0000"/>
        <rFont val="Calibri"/>
        <family val="2"/>
        <scheme val="minor"/>
      </rPr>
      <t xml:space="preserve">*FRONTAL </t>
    </r>
  </si>
  <si>
    <r>
      <t>C2020 (</t>
    </r>
    <r>
      <rPr>
        <sz val="11"/>
        <color rgb="FFFF0000"/>
        <rFont val="Calibri"/>
        <family val="2"/>
        <scheme val="minor"/>
      </rPr>
      <t>OPENING LENGTH</t>
    </r>
    <r>
      <rPr>
        <sz val="11"/>
        <color theme="1"/>
        <rFont val="Calibri"/>
        <family val="2"/>
        <scheme val="minor"/>
      </rPr>
      <t xml:space="preserve">) SUPPLY CORNER </t>
    </r>
    <r>
      <rPr>
        <sz val="11"/>
        <color rgb="FFFF0000"/>
        <rFont val="Calibri"/>
        <family val="2"/>
        <scheme val="minor"/>
      </rPr>
      <t xml:space="preserve">90° </t>
    </r>
    <r>
      <rPr>
        <sz val="11"/>
        <rFont val="Calibri"/>
        <family val="2"/>
        <scheme val="minor"/>
      </rPr>
      <t>(</t>
    </r>
    <r>
      <rPr>
        <sz val="11"/>
        <color rgb="FFFF0000"/>
        <rFont val="Calibri"/>
        <family val="2"/>
        <scheme val="minor"/>
      </rPr>
      <t>LENGTH</t>
    </r>
    <r>
      <rPr>
        <sz val="11"/>
        <rFont val="Calibri"/>
        <family val="2"/>
        <scheme val="minor"/>
      </rPr>
      <t>)</t>
    </r>
    <r>
      <rPr>
        <sz val="11"/>
        <color theme="1"/>
        <rFont val="Calibri"/>
        <family val="2"/>
        <scheme val="minor"/>
      </rPr>
      <t xml:space="preserve">
</t>
    </r>
  </si>
  <si>
    <r>
      <t>C2020 (</t>
    </r>
    <r>
      <rPr>
        <sz val="11"/>
        <color rgb="FFFF0000"/>
        <rFont val="Calibri"/>
        <family val="2"/>
        <scheme val="minor"/>
      </rPr>
      <t>OPENING LENGTH</t>
    </r>
    <r>
      <rPr>
        <sz val="11"/>
        <color theme="1"/>
        <rFont val="Calibri"/>
        <family val="2"/>
        <scheme val="minor"/>
      </rPr>
      <t xml:space="preserve">) DUMMY CORNER </t>
    </r>
    <r>
      <rPr>
        <sz val="11"/>
        <color rgb="FFFF0000"/>
        <rFont val="Calibri"/>
        <family val="2"/>
        <scheme val="minor"/>
      </rPr>
      <t xml:space="preserve">135° </t>
    </r>
    <r>
      <rPr>
        <sz val="11"/>
        <rFont val="Calibri"/>
        <family val="2"/>
        <scheme val="minor"/>
      </rPr>
      <t>(</t>
    </r>
    <r>
      <rPr>
        <sz val="11"/>
        <color rgb="FFFF0000"/>
        <rFont val="Calibri"/>
        <family val="2"/>
        <scheme val="minor"/>
      </rPr>
      <t>LENGTH</t>
    </r>
    <r>
      <rPr>
        <sz val="11"/>
        <rFont val="Calibri"/>
        <family val="2"/>
        <scheme val="minor"/>
      </rPr>
      <t>)</t>
    </r>
    <r>
      <rPr>
        <sz val="11"/>
        <color theme="1"/>
        <rFont val="Calibri"/>
        <family val="2"/>
        <scheme val="minor"/>
      </rPr>
      <t xml:space="preserve">
</t>
    </r>
    <r>
      <rPr>
        <sz val="11"/>
        <color rgb="FFFF0000"/>
        <rFont val="Calibri"/>
        <family val="2"/>
        <scheme val="minor"/>
      </rPr>
      <t>*FRONTAL 2</t>
    </r>
  </si>
  <si>
    <r>
      <t>C2020 (</t>
    </r>
    <r>
      <rPr>
        <sz val="11"/>
        <color rgb="FFFF0000"/>
        <rFont val="Calibri"/>
        <family val="2"/>
        <scheme val="minor"/>
      </rPr>
      <t>OPENING LENGTH</t>
    </r>
    <r>
      <rPr>
        <sz val="11"/>
        <color theme="1"/>
        <rFont val="Calibri"/>
        <family val="2"/>
        <scheme val="minor"/>
      </rPr>
      <t xml:space="preserve">) SUPPLY CORNER </t>
    </r>
    <r>
      <rPr>
        <sz val="11"/>
        <color rgb="FFFF0000"/>
        <rFont val="Calibri"/>
        <family val="2"/>
        <scheme val="minor"/>
      </rPr>
      <t xml:space="preserve">90° </t>
    </r>
    <r>
      <rPr>
        <sz val="11"/>
        <color theme="1"/>
        <rFont val="Calibri"/>
        <family val="2"/>
        <scheme val="minor"/>
      </rPr>
      <t>(</t>
    </r>
    <r>
      <rPr>
        <sz val="11"/>
        <color rgb="FFFF0000"/>
        <rFont val="Calibri"/>
        <family val="2"/>
        <scheme val="minor"/>
      </rPr>
      <t>LENGTH</t>
    </r>
    <r>
      <rPr>
        <sz val="11"/>
        <color theme="1"/>
        <rFont val="Calibri"/>
        <family val="2"/>
        <scheme val="minor"/>
      </rPr>
      <t xml:space="preserve">)
</t>
    </r>
    <r>
      <rPr>
        <sz val="11"/>
        <color rgb="FFFF0000"/>
        <rFont val="Calibri"/>
        <family val="2"/>
        <scheme val="minor"/>
      </rPr>
      <t xml:space="preserve">*FRONTAL </t>
    </r>
  </si>
  <si>
    <r>
      <t>C2020 (</t>
    </r>
    <r>
      <rPr>
        <sz val="11"/>
        <color rgb="FFFF0000"/>
        <rFont val="Calibri"/>
        <family val="2"/>
        <scheme val="minor"/>
      </rPr>
      <t>OPENING LENGTH</t>
    </r>
    <r>
      <rPr>
        <sz val="11"/>
        <color theme="1"/>
        <rFont val="Calibri"/>
        <family val="2"/>
        <scheme val="minor"/>
      </rPr>
      <t xml:space="preserve">) SUPPLY CORNER </t>
    </r>
    <r>
      <rPr>
        <sz val="11"/>
        <color rgb="FFFF0000"/>
        <rFont val="Calibri"/>
        <family val="2"/>
        <scheme val="minor"/>
      </rPr>
      <t xml:space="preserve">90° </t>
    </r>
    <r>
      <rPr>
        <sz val="11"/>
        <color theme="1"/>
        <rFont val="Calibri"/>
        <family val="2"/>
        <scheme val="minor"/>
      </rPr>
      <t>(</t>
    </r>
    <r>
      <rPr>
        <sz val="11"/>
        <color rgb="FFFF0000"/>
        <rFont val="Calibri"/>
        <family val="2"/>
        <scheme val="minor"/>
      </rPr>
      <t>LENGTH</t>
    </r>
    <r>
      <rPr>
        <sz val="11"/>
        <color theme="1"/>
        <rFont val="Calibri"/>
        <family val="2"/>
        <scheme val="minor"/>
      </rPr>
      <t xml:space="preserve">)
</t>
    </r>
    <r>
      <rPr>
        <sz val="11"/>
        <color rgb="FFFF0000"/>
        <rFont val="Calibri"/>
        <family val="2"/>
        <scheme val="minor"/>
      </rPr>
      <t>*FRONTAL 2</t>
    </r>
  </si>
  <si>
    <r>
      <t>C2020 (</t>
    </r>
    <r>
      <rPr>
        <sz val="11"/>
        <color rgb="FFFF0000"/>
        <rFont val="Calibri"/>
        <family val="2"/>
        <scheme val="minor"/>
      </rPr>
      <t>OPENING LENGTH</t>
    </r>
    <r>
      <rPr>
        <sz val="11"/>
        <color theme="1"/>
        <rFont val="Calibri"/>
        <family val="2"/>
        <scheme val="minor"/>
      </rPr>
      <t>) SUPPLY CURVE (</t>
    </r>
    <r>
      <rPr>
        <sz val="11"/>
        <color rgb="FFFF0000"/>
        <rFont val="Calibri"/>
        <family val="2"/>
        <scheme val="minor"/>
      </rPr>
      <t>LENGTH</t>
    </r>
    <r>
      <rPr>
        <sz val="11"/>
        <color theme="1"/>
        <rFont val="Calibri"/>
        <family val="2"/>
        <scheme val="minor"/>
      </rPr>
      <t>)</t>
    </r>
  </si>
  <si>
    <r>
      <t>C2020 (</t>
    </r>
    <r>
      <rPr>
        <sz val="11"/>
        <color rgb="FFFF0000"/>
        <rFont val="Calibri"/>
        <family val="2"/>
        <scheme val="minor"/>
      </rPr>
      <t>OPENING LENGTH</t>
    </r>
    <r>
      <rPr>
        <sz val="11"/>
        <color theme="1"/>
        <rFont val="Calibri"/>
        <family val="2"/>
        <scheme val="minor"/>
      </rPr>
      <t>) SUPPLY CURVE (</t>
    </r>
    <r>
      <rPr>
        <sz val="11"/>
        <color rgb="FFFF0000"/>
        <rFont val="Calibri"/>
        <family val="2"/>
        <scheme val="minor"/>
      </rPr>
      <t>LENGTH</t>
    </r>
    <r>
      <rPr>
        <sz val="11"/>
        <color theme="1"/>
        <rFont val="Calibri"/>
        <family val="2"/>
        <scheme val="minor"/>
      </rPr>
      <t xml:space="preserve">)
</t>
    </r>
    <r>
      <rPr>
        <sz val="11"/>
        <color rgb="FFFF0000"/>
        <rFont val="Calibri"/>
        <family val="2"/>
        <scheme val="minor"/>
      </rPr>
      <t>*FRONTAL</t>
    </r>
  </si>
  <si>
    <r>
      <t>C2020 (</t>
    </r>
    <r>
      <rPr>
        <sz val="11"/>
        <color rgb="FFFF0000"/>
        <rFont val="Calibri"/>
        <family val="2"/>
        <scheme val="minor"/>
      </rPr>
      <t>OPENING LENGTH</t>
    </r>
    <r>
      <rPr>
        <sz val="11"/>
        <color theme="1"/>
        <rFont val="Calibri"/>
        <family val="2"/>
        <scheme val="minor"/>
      </rPr>
      <t>) SUPPLY CURVE (</t>
    </r>
    <r>
      <rPr>
        <sz val="11"/>
        <color rgb="FFFF0000"/>
        <rFont val="Calibri"/>
        <family val="2"/>
        <scheme val="minor"/>
      </rPr>
      <t>LENGTH</t>
    </r>
    <r>
      <rPr>
        <sz val="11"/>
        <color theme="1"/>
        <rFont val="Calibri"/>
        <family val="2"/>
        <scheme val="minor"/>
      </rPr>
      <t xml:space="preserve">)
</t>
    </r>
    <r>
      <rPr>
        <sz val="11"/>
        <color rgb="FFFF0000"/>
        <rFont val="Calibri"/>
        <family val="2"/>
        <scheme val="minor"/>
      </rPr>
      <t>*FRONTAL 2</t>
    </r>
  </si>
  <si>
    <r>
      <t>REVERSE LINEAR GRILLE (</t>
    </r>
    <r>
      <rPr>
        <sz val="11"/>
        <color rgb="FFFF0000"/>
        <rFont val="Calibri"/>
        <family val="2"/>
        <scheme val="minor"/>
      </rPr>
      <t>LENGTH x HEIGHT</t>
    </r>
    <r>
      <rPr>
        <sz val="11"/>
        <color theme="1"/>
        <rFont val="Calibri"/>
        <family val="2"/>
        <scheme val="minor"/>
      </rPr>
      <t>)/ RF:30mm / C:8-5 ON PLENUM BOX WITH (</t>
    </r>
    <r>
      <rPr>
        <sz val="11"/>
        <color rgb="FFFF0000"/>
        <rFont val="Calibri"/>
        <family val="2"/>
        <scheme val="minor"/>
      </rPr>
      <t>No. SPIGOTS</t>
    </r>
    <r>
      <rPr>
        <sz val="11"/>
        <color theme="1"/>
        <rFont val="Calibri"/>
        <family val="2"/>
        <scheme val="minor"/>
      </rPr>
      <t>) Φ(</t>
    </r>
    <r>
      <rPr>
        <sz val="11"/>
        <color rgb="FFFF0000"/>
        <rFont val="Calibri"/>
        <family val="2"/>
        <scheme val="minor"/>
      </rPr>
      <t>DIAMETER</t>
    </r>
    <r>
      <rPr>
        <sz val="11"/>
        <rFont val="Calibri"/>
        <family val="2"/>
        <scheme val="minor"/>
      </rPr>
      <t xml:space="preserve">) ΟΝ ΤΗΕ </t>
    </r>
    <r>
      <rPr>
        <sz val="11"/>
        <color rgb="FFFF0000"/>
        <rFont val="Calibri"/>
        <family val="2"/>
        <scheme val="minor"/>
      </rPr>
      <t>ΒΑCK OR SIDE</t>
    </r>
    <r>
      <rPr>
        <sz val="11"/>
        <color theme="1"/>
        <rFont val="Calibri"/>
        <family val="2"/>
        <scheme val="minor"/>
      </rPr>
      <t xml:space="preserve"> </t>
    </r>
  </si>
  <si>
    <r>
      <t>REVERSE LINEAR GRILLE (</t>
    </r>
    <r>
      <rPr>
        <sz val="11"/>
        <color rgb="FFFF0000"/>
        <rFont val="Calibri"/>
        <family val="2"/>
        <scheme val="minor"/>
      </rPr>
      <t>LENGTH x HEIGHT</t>
    </r>
    <r>
      <rPr>
        <sz val="11"/>
        <color theme="1"/>
        <rFont val="Calibri"/>
        <family val="2"/>
        <scheme val="minor"/>
      </rPr>
      <t>)/ RF:30mm / C:10-7 ON PLENUM BOX WITH (</t>
    </r>
    <r>
      <rPr>
        <sz val="11"/>
        <color rgb="FFFF0000"/>
        <rFont val="Calibri"/>
        <family val="2"/>
        <scheme val="minor"/>
      </rPr>
      <t>No. SPIGOTS</t>
    </r>
    <r>
      <rPr>
        <sz val="11"/>
        <color theme="1"/>
        <rFont val="Calibri"/>
        <family val="2"/>
        <scheme val="minor"/>
      </rPr>
      <t>) Φ(</t>
    </r>
    <r>
      <rPr>
        <sz val="11"/>
        <color rgb="FFFF0000"/>
        <rFont val="Calibri"/>
        <family val="2"/>
        <scheme val="minor"/>
      </rPr>
      <t>DIAMETER</t>
    </r>
    <r>
      <rPr>
        <sz val="11"/>
        <rFont val="Calibri"/>
        <family val="2"/>
        <scheme val="minor"/>
      </rPr>
      <t xml:space="preserve">) ΟΝ ΤΗΕ </t>
    </r>
    <r>
      <rPr>
        <sz val="11"/>
        <color rgb="FFFF0000"/>
        <rFont val="Calibri"/>
        <family val="2"/>
        <scheme val="minor"/>
      </rPr>
      <t>ΒΑCK OR SIDE</t>
    </r>
    <r>
      <rPr>
        <sz val="11"/>
        <color theme="1"/>
        <rFont val="Calibri"/>
        <family val="2"/>
        <scheme val="minor"/>
      </rPr>
      <t xml:space="preserve"> </t>
    </r>
  </si>
  <si>
    <r>
      <t>REVERSE LINEAR GRILLE (</t>
    </r>
    <r>
      <rPr>
        <sz val="11"/>
        <color rgb="FFFF0000"/>
        <rFont val="Calibri"/>
        <family val="2"/>
        <scheme val="minor"/>
      </rPr>
      <t>LENGTH x HEIGHT</t>
    </r>
    <r>
      <rPr>
        <sz val="11"/>
        <color theme="1"/>
        <rFont val="Calibri"/>
        <family val="2"/>
        <scheme val="minor"/>
      </rPr>
      <t>)/ RF:30mm / C:12-5 ON PLENUM BOX WITH (</t>
    </r>
    <r>
      <rPr>
        <sz val="11"/>
        <color rgb="FFFF0000"/>
        <rFont val="Calibri"/>
        <family val="2"/>
        <scheme val="minor"/>
      </rPr>
      <t>No. SPIGOTS</t>
    </r>
    <r>
      <rPr>
        <sz val="11"/>
        <color theme="1"/>
        <rFont val="Calibri"/>
        <family val="2"/>
        <scheme val="minor"/>
      </rPr>
      <t>) Φ(</t>
    </r>
    <r>
      <rPr>
        <sz val="11"/>
        <color rgb="FFFF0000"/>
        <rFont val="Calibri"/>
        <family val="2"/>
        <scheme val="minor"/>
      </rPr>
      <t>DIAMETER</t>
    </r>
    <r>
      <rPr>
        <sz val="11"/>
        <rFont val="Calibri"/>
        <family val="2"/>
        <scheme val="minor"/>
      </rPr>
      <t xml:space="preserve">) ΟΝ ΤΗΕ </t>
    </r>
    <r>
      <rPr>
        <sz val="11"/>
        <color rgb="FFFF0000"/>
        <rFont val="Calibri"/>
        <family val="2"/>
        <scheme val="minor"/>
      </rPr>
      <t>ΒΑCK OR SIDE</t>
    </r>
    <r>
      <rPr>
        <sz val="11"/>
        <color theme="1"/>
        <rFont val="Calibri"/>
        <family val="2"/>
        <scheme val="minor"/>
      </rPr>
      <t xml:space="preserve"> </t>
    </r>
  </si>
  <si>
    <r>
      <t>REVERSE LINEAR GRILLE (</t>
    </r>
    <r>
      <rPr>
        <sz val="11"/>
        <color rgb="FFFF0000"/>
        <rFont val="Calibri"/>
        <family val="2"/>
        <scheme val="minor"/>
      </rPr>
      <t>LENGTH x HEIGHT</t>
    </r>
    <r>
      <rPr>
        <sz val="11"/>
        <color theme="1"/>
        <rFont val="Calibri"/>
        <family val="2"/>
        <scheme val="minor"/>
      </rPr>
      <t xml:space="preserve">)/ RF:30mm / C:8-5 </t>
    </r>
    <r>
      <rPr>
        <sz val="11"/>
        <color rgb="FFFF0000"/>
        <rFont val="Calibri"/>
        <family val="2"/>
        <scheme val="minor"/>
      </rPr>
      <t>*WITH BLACK BACK (OPTIONAL)</t>
    </r>
  </si>
  <si>
    <r>
      <t>REVERSE LINEAR GRILLE (</t>
    </r>
    <r>
      <rPr>
        <sz val="11"/>
        <color rgb="FFFF0000"/>
        <rFont val="Calibri"/>
        <family val="2"/>
        <scheme val="minor"/>
      </rPr>
      <t>LENGTH x HEIGHT</t>
    </r>
    <r>
      <rPr>
        <sz val="11"/>
        <color theme="1"/>
        <rFont val="Calibri"/>
        <family val="2"/>
        <scheme val="minor"/>
      </rPr>
      <t xml:space="preserve">)/ RF:30mm / C:12-5 </t>
    </r>
    <r>
      <rPr>
        <sz val="11"/>
        <color rgb="FFFF0000"/>
        <rFont val="Calibri"/>
        <family val="2"/>
        <scheme val="minor"/>
      </rPr>
      <t>*WITH BLACK BACK (OPTIONAL)</t>
    </r>
  </si>
  <si>
    <r>
      <t>REVERSE 2-SLOT GRILLE (</t>
    </r>
    <r>
      <rPr>
        <sz val="11"/>
        <color rgb="FFFF0000"/>
        <rFont val="Calibri"/>
        <family val="2"/>
        <scheme val="minor"/>
      </rPr>
      <t>OPENING LENGTH</t>
    </r>
    <r>
      <rPr>
        <sz val="11"/>
        <color theme="1"/>
        <rFont val="Calibri"/>
        <family val="2"/>
        <scheme val="minor"/>
      </rPr>
      <t>)/ RF:30mm /  (</t>
    </r>
    <r>
      <rPr>
        <sz val="11"/>
        <color rgb="FFFF0000"/>
        <rFont val="Calibri"/>
        <family val="2"/>
        <scheme val="minor"/>
      </rPr>
      <t>LENGTH</t>
    </r>
    <r>
      <rPr>
        <sz val="11"/>
        <color theme="1"/>
        <rFont val="Calibri"/>
        <family val="2"/>
        <scheme val="minor"/>
      </rPr>
      <t>) ON PLENUM BOX WITH (</t>
    </r>
    <r>
      <rPr>
        <sz val="11"/>
        <color rgb="FFFF0000"/>
        <rFont val="Calibri"/>
        <family val="2"/>
        <scheme val="minor"/>
      </rPr>
      <t>No. SPIGOTS</t>
    </r>
    <r>
      <rPr>
        <sz val="11"/>
        <color theme="1"/>
        <rFont val="Calibri"/>
        <family val="2"/>
        <scheme val="minor"/>
      </rPr>
      <t>) Φ(</t>
    </r>
    <r>
      <rPr>
        <sz val="11"/>
        <color rgb="FFFF0000"/>
        <rFont val="Calibri"/>
        <family val="2"/>
        <scheme val="minor"/>
      </rPr>
      <t>DIAMETER</t>
    </r>
    <r>
      <rPr>
        <sz val="11"/>
        <rFont val="Calibri"/>
        <family val="2"/>
        <scheme val="minor"/>
      </rPr>
      <t xml:space="preserve">) ΟΝ ΤΗΕ </t>
    </r>
    <r>
      <rPr>
        <sz val="11"/>
        <color rgb="FFFF0000"/>
        <rFont val="Calibri"/>
        <family val="2"/>
        <scheme val="minor"/>
      </rPr>
      <t>ΒΑCK OR SIDE</t>
    </r>
    <r>
      <rPr>
        <sz val="11"/>
        <color theme="1"/>
        <rFont val="Calibri"/>
        <family val="2"/>
        <scheme val="minor"/>
      </rPr>
      <t xml:space="preserve"> </t>
    </r>
  </si>
  <si>
    <r>
      <t>REVERSE 3-SLOT GRILLE (</t>
    </r>
    <r>
      <rPr>
        <sz val="11"/>
        <color rgb="FFFF0000"/>
        <rFont val="Calibri"/>
        <family val="2"/>
        <scheme val="minor"/>
      </rPr>
      <t>OPENING LENGTH</t>
    </r>
    <r>
      <rPr>
        <sz val="11"/>
        <color theme="1"/>
        <rFont val="Calibri"/>
        <family val="2"/>
        <scheme val="minor"/>
      </rPr>
      <t>)/ RF:30mm /  (</t>
    </r>
    <r>
      <rPr>
        <sz val="11"/>
        <color rgb="FFFF0000"/>
        <rFont val="Calibri"/>
        <family val="2"/>
        <scheme val="minor"/>
      </rPr>
      <t>LENGTH</t>
    </r>
    <r>
      <rPr>
        <sz val="11"/>
        <color theme="1"/>
        <rFont val="Calibri"/>
        <family val="2"/>
        <scheme val="minor"/>
      </rPr>
      <t>) ON PLENUM BOX WITH (</t>
    </r>
    <r>
      <rPr>
        <sz val="11"/>
        <color rgb="FFFF0000"/>
        <rFont val="Calibri"/>
        <family val="2"/>
        <scheme val="minor"/>
      </rPr>
      <t>No. SPIGOTS</t>
    </r>
    <r>
      <rPr>
        <sz val="11"/>
        <color theme="1"/>
        <rFont val="Calibri"/>
        <family val="2"/>
        <scheme val="minor"/>
      </rPr>
      <t>) Φ(</t>
    </r>
    <r>
      <rPr>
        <sz val="11"/>
        <color rgb="FFFF0000"/>
        <rFont val="Calibri"/>
        <family val="2"/>
        <scheme val="minor"/>
      </rPr>
      <t>DIAMETER</t>
    </r>
    <r>
      <rPr>
        <sz val="11"/>
        <rFont val="Calibri"/>
        <family val="2"/>
        <scheme val="minor"/>
      </rPr>
      <t xml:space="preserve">) ΟΝ ΤΗΕ </t>
    </r>
    <r>
      <rPr>
        <sz val="11"/>
        <color rgb="FFFF0000"/>
        <rFont val="Calibri"/>
        <family val="2"/>
        <scheme val="minor"/>
      </rPr>
      <t>ΒΑCK OR SIDE</t>
    </r>
    <r>
      <rPr>
        <sz val="11"/>
        <color theme="1"/>
        <rFont val="Calibri"/>
        <family val="2"/>
        <scheme val="minor"/>
      </rPr>
      <t xml:space="preserve"> </t>
    </r>
  </si>
  <si>
    <r>
      <t>REVERSE 2-SLOT GRILLE (</t>
    </r>
    <r>
      <rPr>
        <sz val="11"/>
        <color rgb="FFFF0000"/>
        <rFont val="Calibri"/>
        <family val="2"/>
        <scheme val="minor"/>
      </rPr>
      <t>OPENING LENGTH</t>
    </r>
    <r>
      <rPr>
        <sz val="11"/>
        <color theme="1"/>
        <rFont val="Calibri"/>
        <family val="2"/>
        <scheme val="minor"/>
      </rPr>
      <t>)/ RF:30mm  (</t>
    </r>
    <r>
      <rPr>
        <sz val="11"/>
        <color rgb="FFFF0000"/>
        <rFont val="Calibri"/>
        <family val="2"/>
        <scheme val="minor"/>
      </rPr>
      <t>LENGTH</t>
    </r>
    <r>
      <rPr>
        <sz val="11"/>
        <color theme="1"/>
        <rFont val="Calibri"/>
        <family val="2"/>
        <scheme val="minor"/>
      </rPr>
      <t xml:space="preserve">)  </t>
    </r>
    <r>
      <rPr>
        <sz val="11"/>
        <color rgb="FFFF0000"/>
        <rFont val="Calibri"/>
        <family val="2"/>
        <scheme val="minor"/>
      </rPr>
      <t>*WITH BLACK BACK (OPTIONAL)</t>
    </r>
  </si>
  <si>
    <r>
      <t>REVERSE 3-SLOT GRILLE (</t>
    </r>
    <r>
      <rPr>
        <sz val="11"/>
        <color rgb="FFFF0000"/>
        <rFont val="Calibri"/>
        <family val="2"/>
        <scheme val="minor"/>
      </rPr>
      <t>OPENING LENGTH</t>
    </r>
    <r>
      <rPr>
        <sz val="11"/>
        <color theme="1"/>
        <rFont val="Calibri"/>
        <family val="2"/>
        <scheme val="minor"/>
      </rPr>
      <t>)/ RF:30mm  (</t>
    </r>
    <r>
      <rPr>
        <sz val="11"/>
        <color rgb="FFFF0000"/>
        <rFont val="Calibri"/>
        <family val="2"/>
        <scheme val="minor"/>
      </rPr>
      <t>LENGTH</t>
    </r>
    <r>
      <rPr>
        <sz val="11"/>
        <color theme="1"/>
        <rFont val="Calibri"/>
        <family val="2"/>
        <scheme val="minor"/>
      </rPr>
      <t xml:space="preserve">)  </t>
    </r>
    <r>
      <rPr>
        <sz val="11"/>
        <color rgb="FFFF0000"/>
        <rFont val="Calibri"/>
        <family val="2"/>
        <scheme val="minor"/>
      </rPr>
      <t>*WITH BLACK BACK (OPTIONAL)</t>
    </r>
  </si>
  <si>
    <r>
      <t>REVERSE V-SLOT GRILLE (</t>
    </r>
    <r>
      <rPr>
        <sz val="11"/>
        <color rgb="FFFF0000"/>
        <rFont val="Calibri"/>
        <family val="2"/>
        <scheme val="minor"/>
      </rPr>
      <t>LENGTH</t>
    </r>
    <r>
      <rPr>
        <sz val="11"/>
        <color theme="1"/>
        <rFont val="Calibri"/>
        <family val="2"/>
        <scheme val="minor"/>
      </rPr>
      <t>)/ RF:30mm / (</t>
    </r>
    <r>
      <rPr>
        <sz val="11"/>
        <color rgb="FFFF0000"/>
        <rFont val="Calibri"/>
        <family val="2"/>
        <scheme val="minor"/>
      </rPr>
      <t>LENGTH</t>
    </r>
    <r>
      <rPr>
        <sz val="11"/>
        <color theme="1"/>
        <rFont val="Calibri"/>
        <family val="2"/>
        <scheme val="minor"/>
      </rPr>
      <t>) ON PLENUM BOX WITH (</t>
    </r>
    <r>
      <rPr>
        <sz val="11"/>
        <color rgb="FFFF0000"/>
        <rFont val="Calibri"/>
        <family val="2"/>
        <scheme val="minor"/>
      </rPr>
      <t>No. SPIGOTS</t>
    </r>
    <r>
      <rPr>
        <sz val="11"/>
        <color theme="1"/>
        <rFont val="Calibri"/>
        <family val="2"/>
        <scheme val="minor"/>
      </rPr>
      <t>) Φ(</t>
    </r>
    <r>
      <rPr>
        <sz val="11"/>
        <color rgb="FFFF0000"/>
        <rFont val="Calibri"/>
        <family val="2"/>
        <scheme val="minor"/>
      </rPr>
      <t>DIAMETER</t>
    </r>
    <r>
      <rPr>
        <sz val="11"/>
        <rFont val="Calibri"/>
        <family val="2"/>
        <scheme val="minor"/>
      </rPr>
      <t xml:space="preserve">) ΟΝ ΤΗΕ </t>
    </r>
    <r>
      <rPr>
        <sz val="11"/>
        <color rgb="FFFF0000"/>
        <rFont val="Calibri"/>
        <family val="2"/>
        <scheme val="minor"/>
      </rPr>
      <t>ΒΑCK OR SIDE</t>
    </r>
    <r>
      <rPr>
        <sz val="11"/>
        <color theme="1"/>
        <rFont val="Calibri"/>
        <family val="2"/>
        <scheme val="minor"/>
      </rPr>
      <t xml:space="preserve"> </t>
    </r>
  </si>
  <si>
    <r>
      <t>REVERSE V-SLOT GRILLE (</t>
    </r>
    <r>
      <rPr>
        <sz val="11"/>
        <color rgb="FFFF0000"/>
        <rFont val="Calibri"/>
        <family val="2"/>
        <scheme val="minor"/>
      </rPr>
      <t>LENGTH</t>
    </r>
    <r>
      <rPr>
        <sz val="11"/>
        <color theme="1"/>
        <rFont val="Calibri"/>
        <family val="2"/>
        <scheme val="minor"/>
      </rPr>
      <t>)/ RF:30mm / (</t>
    </r>
    <r>
      <rPr>
        <sz val="11"/>
        <color rgb="FFFF0000"/>
        <rFont val="Calibri"/>
        <family val="2"/>
        <scheme val="minor"/>
      </rPr>
      <t>LENGTH</t>
    </r>
    <r>
      <rPr>
        <sz val="11"/>
        <color theme="1"/>
        <rFont val="Calibri"/>
        <family val="2"/>
        <scheme val="minor"/>
      </rPr>
      <t xml:space="preserve">)  </t>
    </r>
    <r>
      <rPr>
        <sz val="11"/>
        <color rgb="FFFF0000"/>
        <rFont val="Calibri"/>
        <family val="2"/>
        <scheme val="minor"/>
      </rPr>
      <t>*WITH BLACK BACK (OPTIONAL)</t>
    </r>
  </si>
  <si>
    <r>
      <rPr>
        <b/>
        <sz val="11"/>
        <color theme="1"/>
        <rFont val="Calibri"/>
        <family val="2"/>
        <scheme val="minor"/>
      </rPr>
      <t xml:space="preserve"> PAK700 -</t>
    </r>
    <r>
      <rPr>
        <sz val="11"/>
        <color theme="1"/>
        <rFont val="Calibri"/>
        <family val="2"/>
        <scheme val="minor"/>
      </rPr>
      <t xml:space="preserve"> C2020 40mm SUPPLY (900mm x 120mm)  WITH (</t>
    </r>
    <r>
      <rPr>
        <sz val="11"/>
        <color rgb="FFFF0000"/>
        <rFont val="Calibri"/>
        <family val="2"/>
        <scheme val="minor"/>
      </rPr>
      <t>No.SPIGOTS</t>
    </r>
    <r>
      <rPr>
        <sz val="11"/>
        <color theme="1"/>
        <rFont val="Calibri"/>
        <family val="2"/>
        <scheme val="minor"/>
      </rPr>
      <t>) Φ(</t>
    </r>
    <r>
      <rPr>
        <sz val="11"/>
        <color rgb="FFFF0000"/>
        <rFont val="Calibri"/>
        <family val="2"/>
        <scheme val="minor"/>
      </rPr>
      <t>DIAMETER</t>
    </r>
    <r>
      <rPr>
        <sz val="11"/>
        <color theme="1"/>
        <rFont val="Calibri"/>
        <family val="2"/>
        <scheme val="minor"/>
      </rPr>
      <t xml:space="preserve">) ΟΝ ΤΗΕ </t>
    </r>
    <r>
      <rPr>
        <sz val="11"/>
        <color rgb="FFFF0000"/>
        <rFont val="Calibri"/>
        <family val="2"/>
        <scheme val="minor"/>
      </rPr>
      <t>BACK OR SIDE</t>
    </r>
  </si>
  <si>
    <r>
      <rPr>
        <b/>
        <sz val="11"/>
        <color theme="1"/>
        <rFont val="Calibri"/>
        <family val="2"/>
        <scheme val="minor"/>
      </rPr>
      <t xml:space="preserve"> PAK700 -</t>
    </r>
    <r>
      <rPr>
        <sz val="11"/>
        <color theme="1"/>
        <rFont val="Calibri"/>
        <family val="2"/>
        <scheme val="minor"/>
      </rPr>
      <t xml:space="preserve"> REVERSE 2-SLOT 25mm (900mm x 89mm) / RF:30mm /ON PLENUM BOX WITH (</t>
    </r>
    <r>
      <rPr>
        <sz val="11"/>
        <color rgb="FFFF0000"/>
        <rFont val="Calibri"/>
        <family val="2"/>
        <scheme val="minor"/>
      </rPr>
      <t>No.SPIGOTS</t>
    </r>
    <r>
      <rPr>
        <sz val="11"/>
        <color theme="1"/>
        <rFont val="Calibri"/>
        <family val="2"/>
        <scheme val="minor"/>
      </rPr>
      <t>) Φ(</t>
    </r>
    <r>
      <rPr>
        <sz val="11"/>
        <color rgb="FFFF0000"/>
        <rFont val="Calibri"/>
        <family val="2"/>
        <scheme val="minor"/>
      </rPr>
      <t>DIAMETER</t>
    </r>
    <r>
      <rPr>
        <sz val="11"/>
        <color theme="1"/>
        <rFont val="Calibri"/>
        <family val="2"/>
        <scheme val="minor"/>
      </rPr>
      <t xml:space="preserve">) ΟΝ ΤΗΕ </t>
    </r>
    <r>
      <rPr>
        <sz val="11"/>
        <color rgb="FFFF0000"/>
        <rFont val="Calibri"/>
        <family val="2"/>
        <scheme val="minor"/>
      </rPr>
      <t>BACK OR SIDE</t>
    </r>
  </si>
  <si>
    <r>
      <rPr>
        <b/>
        <sz val="11"/>
        <color theme="1"/>
        <rFont val="Calibri"/>
        <family val="2"/>
        <scheme val="minor"/>
      </rPr>
      <t xml:space="preserve"> PAK700 -</t>
    </r>
    <r>
      <rPr>
        <sz val="11"/>
        <color theme="1"/>
        <rFont val="Calibri"/>
        <family val="2"/>
        <scheme val="minor"/>
      </rPr>
      <t xml:space="preserve"> REVERSE 3-SLOT  20mm (900mm x 114mm) / RF:30mm / ON PLENUM BOX WITH (</t>
    </r>
    <r>
      <rPr>
        <sz val="11"/>
        <color rgb="FFFF0000"/>
        <rFont val="Calibri"/>
        <family val="2"/>
        <scheme val="minor"/>
      </rPr>
      <t>No.SPIGOTS</t>
    </r>
    <r>
      <rPr>
        <sz val="11"/>
        <color theme="1"/>
        <rFont val="Calibri"/>
        <family val="2"/>
        <scheme val="minor"/>
      </rPr>
      <t>) Φ(</t>
    </r>
    <r>
      <rPr>
        <sz val="11"/>
        <color rgb="FFFF0000"/>
        <rFont val="Calibri"/>
        <family val="2"/>
        <scheme val="minor"/>
      </rPr>
      <t>DIAMETER</t>
    </r>
    <r>
      <rPr>
        <sz val="11"/>
        <color theme="1"/>
        <rFont val="Calibri"/>
        <family val="2"/>
        <scheme val="minor"/>
      </rPr>
      <t xml:space="preserve">) ΟΝ ΤΗΕ </t>
    </r>
    <r>
      <rPr>
        <sz val="11"/>
        <color rgb="FFFF0000"/>
        <rFont val="Calibri"/>
        <family val="2"/>
        <scheme val="minor"/>
      </rPr>
      <t>BACK OR SIDE</t>
    </r>
  </si>
  <si>
    <r>
      <rPr>
        <b/>
        <sz val="11"/>
        <color theme="1"/>
        <rFont val="Calibri"/>
        <family val="2"/>
        <scheme val="minor"/>
      </rPr>
      <t xml:space="preserve"> PAK700 -</t>
    </r>
    <r>
      <rPr>
        <sz val="11"/>
        <color theme="1"/>
        <rFont val="Calibri"/>
        <family val="2"/>
        <scheme val="minor"/>
      </rPr>
      <t xml:space="preserve"> REVERSE LINEAR GRILLE</t>
    </r>
    <r>
      <rPr>
        <sz val="11"/>
        <color rgb="FFFF0000"/>
        <rFont val="Calibri"/>
        <family val="2"/>
        <scheme val="minor"/>
      </rPr>
      <t xml:space="preserve"> </t>
    </r>
    <r>
      <rPr>
        <sz val="11"/>
        <rFont val="Calibri"/>
        <family val="2"/>
        <scheme val="minor"/>
      </rPr>
      <t>C:12-5 (900mm x 144mm)</t>
    </r>
    <r>
      <rPr>
        <sz val="11"/>
        <color theme="1"/>
        <rFont val="Calibri"/>
        <family val="2"/>
        <scheme val="minor"/>
      </rPr>
      <t xml:space="preserve"> / RF:30mm / ON PLENUM BOX WITH (</t>
    </r>
    <r>
      <rPr>
        <sz val="11"/>
        <color rgb="FFFF0000"/>
        <rFont val="Calibri"/>
        <family val="2"/>
        <scheme val="minor"/>
      </rPr>
      <t>No.SPIGOTS</t>
    </r>
    <r>
      <rPr>
        <sz val="11"/>
        <color theme="1"/>
        <rFont val="Calibri"/>
        <family val="2"/>
        <scheme val="minor"/>
      </rPr>
      <t>) Φ(</t>
    </r>
    <r>
      <rPr>
        <sz val="11"/>
        <color rgb="FFFF0000"/>
        <rFont val="Calibri"/>
        <family val="2"/>
        <scheme val="minor"/>
      </rPr>
      <t>DIAMETER</t>
    </r>
    <r>
      <rPr>
        <sz val="11"/>
        <color theme="1"/>
        <rFont val="Calibri"/>
        <family val="2"/>
        <scheme val="minor"/>
      </rPr>
      <t xml:space="preserve">) ΟΝ ΤΗΕ </t>
    </r>
    <r>
      <rPr>
        <sz val="11"/>
        <color rgb="FFFF0000"/>
        <rFont val="Calibri"/>
        <family val="2"/>
        <scheme val="minor"/>
      </rPr>
      <t xml:space="preserve">BACK OR SIDE </t>
    </r>
  </si>
  <si>
    <r>
      <t xml:space="preserve"> </t>
    </r>
    <r>
      <rPr>
        <b/>
        <sz val="11"/>
        <color theme="1"/>
        <rFont val="Calibri"/>
        <family val="2"/>
        <scheme val="minor"/>
      </rPr>
      <t>PAK1000 -</t>
    </r>
    <r>
      <rPr>
        <sz val="11"/>
        <color theme="1"/>
        <rFont val="Calibri"/>
        <family val="2"/>
        <scheme val="minor"/>
      </rPr>
      <t xml:space="preserve"> C2020 50mm SUPPLY (900mm x 120mm) WITH (</t>
    </r>
    <r>
      <rPr>
        <sz val="11"/>
        <color rgb="FFFF0000"/>
        <rFont val="Calibri"/>
        <family val="2"/>
        <scheme val="minor"/>
      </rPr>
      <t>No.SPIGOTS</t>
    </r>
    <r>
      <rPr>
        <sz val="11"/>
        <color theme="1"/>
        <rFont val="Calibri"/>
        <family val="2"/>
        <scheme val="minor"/>
      </rPr>
      <t>) Φ(</t>
    </r>
    <r>
      <rPr>
        <sz val="11"/>
        <color rgb="FFFF0000"/>
        <rFont val="Calibri"/>
        <family val="2"/>
        <scheme val="minor"/>
      </rPr>
      <t>DIAMETER</t>
    </r>
    <r>
      <rPr>
        <sz val="11"/>
        <color theme="1"/>
        <rFont val="Calibri"/>
        <family val="2"/>
        <scheme val="minor"/>
      </rPr>
      <t xml:space="preserve">) ΟΝ ΤΗΕ </t>
    </r>
    <r>
      <rPr>
        <sz val="11"/>
        <color rgb="FFFF0000"/>
        <rFont val="Calibri"/>
        <family val="2"/>
        <scheme val="minor"/>
      </rPr>
      <t xml:space="preserve">BACK OR SIDE </t>
    </r>
  </si>
  <si>
    <r>
      <rPr>
        <b/>
        <sz val="11"/>
        <color theme="1"/>
        <rFont val="Calibri"/>
        <family val="2"/>
        <scheme val="minor"/>
      </rPr>
      <t>PAK1000 -</t>
    </r>
    <r>
      <rPr>
        <sz val="11"/>
        <color theme="1"/>
        <rFont val="Calibri"/>
        <family val="2"/>
        <scheme val="minor"/>
      </rPr>
      <t xml:space="preserve"> REVERSE 2-SLOT 30mm (900mm x 99mm) / RF:30mm /  ON PLENUM BOX WITH </t>
    </r>
    <r>
      <rPr>
        <sz val="11"/>
        <color rgb="FFFF0000"/>
        <rFont val="Calibri"/>
        <family val="2"/>
        <scheme val="minor"/>
      </rPr>
      <t>(No.SPIGOTS)</t>
    </r>
    <r>
      <rPr>
        <sz val="11"/>
        <color theme="1"/>
        <rFont val="Calibri"/>
        <family val="2"/>
        <scheme val="minor"/>
      </rPr>
      <t xml:space="preserve"> </t>
    </r>
    <r>
      <rPr>
        <sz val="11"/>
        <rFont val="Calibri"/>
        <family val="2"/>
        <scheme val="minor"/>
      </rPr>
      <t>Φ</t>
    </r>
    <r>
      <rPr>
        <sz val="11"/>
        <color rgb="FFFF0000"/>
        <rFont val="Calibri"/>
        <family val="2"/>
        <scheme val="minor"/>
      </rPr>
      <t>(DIAMETER)</t>
    </r>
    <r>
      <rPr>
        <sz val="11"/>
        <color theme="1"/>
        <rFont val="Calibri"/>
        <family val="2"/>
        <scheme val="minor"/>
      </rPr>
      <t xml:space="preserve"> ΟΝ ΤΗΕ </t>
    </r>
    <r>
      <rPr>
        <sz val="11"/>
        <color rgb="FFFF0000"/>
        <rFont val="Calibri"/>
        <family val="2"/>
        <scheme val="minor"/>
      </rPr>
      <t>BACK OR SIDE</t>
    </r>
  </si>
  <si>
    <r>
      <rPr>
        <b/>
        <sz val="11"/>
        <color theme="1"/>
        <rFont val="Calibri"/>
        <family val="2"/>
        <scheme val="minor"/>
      </rPr>
      <t>PAK1000 -</t>
    </r>
    <r>
      <rPr>
        <sz val="11"/>
        <color theme="1"/>
        <rFont val="Calibri"/>
        <family val="2"/>
        <scheme val="minor"/>
      </rPr>
      <t xml:space="preserve"> REVERSE 3-SLOT 25mm  (900mm x 198mm) / RF:30mm / (</t>
    </r>
    <r>
      <rPr>
        <sz val="11"/>
        <color rgb="FFFF0000"/>
        <rFont val="Calibri"/>
        <family val="2"/>
        <scheme val="minor"/>
      </rPr>
      <t>LENGTH</t>
    </r>
    <r>
      <rPr>
        <sz val="11"/>
        <color theme="1"/>
        <rFont val="Calibri"/>
        <family val="2"/>
        <scheme val="minor"/>
      </rPr>
      <t>) ON PLENUM BOX WITH (</t>
    </r>
    <r>
      <rPr>
        <sz val="11"/>
        <color rgb="FFFF0000"/>
        <rFont val="Calibri"/>
        <family val="2"/>
        <scheme val="minor"/>
      </rPr>
      <t>No.SPIGOTS</t>
    </r>
    <r>
      <rPr>
        <sz val="11"/>
        <color theme="1"/>
        <rFont val="Calibri"/>
        <family val="2"/>
        <scheme val="minor"/>
      </rPr>
      <t>) Φ(</t>
    </r>
    <r>
      <rPr>
        <sz val="11"/>
        <color rgb="FFFF0000"/>
        <rFont val="Calibri"/>
        <family val="2"/>
        <scheme val="minor"/>
      </rPr>
      <t>DIAMETER</t>
    </r>
    <r>
      <rPr>
        <sz val="11"/>
        <color theme="1"/>
        <rFont val="Calibri"/>
        <family val="2"/>
        <scheme val="minor"/>
      </rPr>
      <t xml:space="preserve">) ΟΝ ΤΗΕ </t>
    </r>
    <r>
      <rPr>
        <sz val="11"/>
        <color rgb="FFFF0000"/>
        <rFont val="Calibri"/>
        <family val="2"/>
        <scheme val="minor"/>
      </rPr>
      <t>BACK OR SIDE</t>
    </r>
  </si>
  <si>
    <r>
      <rPr>
        <b/>
        <sz val="11"/>
        <color theme="1"/>
        <rFont val="Calibri"/>
        <family val="2"/>
        <scheme val="minor"/>
      </rPr>
      <t>PAK1000 -</t>
    </r>
    <r>
      <rPr>
        <sz val="11"/>
        <color theme="1"/>
        <rFont val="Calibri"/>
        <family val="2"/>
        <scheme val="minor"/>
      </rPr>
      <t xml:space="preserve"> REVERSE LINEAR  (900mm x 198mm) / RF:30mm / C:12-5 / ON PLENUM BOX WITH (</t>
    </r>
    <r>
      <rPr>
        <sz val="11"/>
        <color rgb="FFFF0000"/>
        <rFont val="Calibri"/>
        <family val="2"/>
        <scheme val="minor"/>
      </rPr>
      <t>No.SPIGOTS</t>
    </r>
    <r>
      <rPr>
        <sz val="11"/>
        <color theme="1"/>
        <rFont val="Calibri"/>
        <family val="2"/>
        <scheme val="minor"/>
      </rPr>
      <t>) Φ(</t>
    </r>
    <r>
      <rPr>
        <sz val="11"/>
        <color rgb="FFFF0000"/>
        <rFont val="Calibri"/>
        <family val="2"/>
        <scheme val="minor"/>
      </rPr>
      <t>DIAMETER</t>
    </r>
    <r>
      <rPr>
        <sz val="11"/>
        <color theme="1"/>
        <rFont val="Calibri"/>
        <family val="2"/>
        <scheme val="minor"/>
      </rPr>
      <t xml:space="preserve">) ΟΝ ΤΗΕ </t>
    </r>
    <r>
      <rPr>
        <sz val="11"/>
        <color rgb="FFFF0000"/>
        <rFont val="Calibri"/>
        <family val="2"/>
        <scheme val="minor"/>
      </rPr>
      <t>BACK OR SIDE</t>
    </r>
  </si>
  <si>
    <r>
      <t>C2020 (</t>
    </r>
    <r>
      <rPr>
        <sz val="11"/>
        <color rgb="FFFF0000"/>
        <rFont val="Calibri"/>
        <family val="2"/>
        <scheme val="minor"/>
      </rPr>
      <t>OPENING LENGTH</t>
    </r>
    <r>
      <rPr>
        <sz val="11"/>
        <color theme="1"/>
        <rFont val="Calibri"/>
        <family val="2"/>
        <scheme val="minor"/>
      </rPr>
      <t>) SUPPLY (</t>
    </r>
    <r>
      <rPr>
        <sz val="11"/>
        <color rgb="FFFF0000"/>
        <rFont val="Calibri"/>
        <family val="2"/>
        <scheme val="minor"/>
      </rPr>
      <t>LENGTH</t>
    </r>
    <r>
      <rPr>
        <sz val="11"/>
        <color theme="1"/>
        <rFont val="Calibri"/>
        <family val="2"/>
        <scheme val="minor"/>
      </rPr>
      <t>)WITH (</t>
    </r>
    <r>
      <rPr>
        <sz val="11"/>
        <color rgb="FFFF0000"/>
        <rFont val="Calibri"/>
        <family val="2"/>
        <scheme val="minor"/>
      </rPr>
      <t>No.SPIGOTS</t>
    </r>
    <r>
      <rPr>
        <sz val="11"/>
        <color theme="1"/>
        <rFont val="Calibri"/>
        <family val="2"/>
        <scheme val="minor"/>
      </rPr>
      <t>) Φ(</t>
    </r>
    <r>
      <rPr>
        <sz val="11"/>
        <color rgb="FFFF0000"/>
        <rFont val="Calibri"/>
        <family val="2"/>
        <scheme val="minor"/>
      </rPr>
      <t>DIAMETER</t>
    </r>
    <r>
      <rPr>
        <sz val="11"/>
        <color theme="1"/>
        <rFont val="Calibri"/>
        <family val="2"/>
        <scheme val="minor"/>
      </rPr>
      <t xml:space="preserve">) ΟΝ ΤΗΕ </t>
    </r>
    <r>
      <rPr>
        <sz val="11"/>
        <color rgb="FFFF0000"/>
        <rFont val="Calibri"/>
        <family val="2"/>
        <scheme val="minor"/>
      </rPr>
      <t>BACK OR SIDE  - ΜΥΚΟΝΙΑΝ STYLE</t>
    </r>
  </si>
  <si>
    <r>
      <t>REVERSE 2-SLOT GRILLE (</t>
    </r>
    <r>
      <rPr>
        <sz val="11"/>
        <color rgb="FFFF0000"/>
        <rFont val="Calibri"/>
        <family val="2"/>
        <scheme val="minor"/>
      </rPr>
      <t>OPENING LENGTH</t>
    </r>
    <r>
      <rPr>
        <sz val="11"/>
        <color theme="1"/>
        <rFont val="Calibri"/>
        <family val="2"/>
        <scheme val="minor"/>
      </rPr>
      <t>) / RF:30mm / (</t>
    </r>
    <r>
      <rPr>
        <sz val="11"/>
        <color rgb="FFFF0000"/>
        <rFont val="Calibri"/>
        <family val="2"/>
        <scheme val="minor"/>
      </rPr>
      <t>LENGTH</t>
    </r>
    <r>
      <rPr>
        <sz val="11"/>
        <color theme="1"/>
        <rFont val="Calibri"/>
        <family val="2"/>
        <scheme val="minor"/>
      </rPr>
      <t>) ON PLENUM BOX WITH (</t>
    </r>
    <r>
      <rPr>
        <sz val="11"/>
        <color rgb="FFFF0000"/>
        <rFont val="Calibri"/>
        <family val="2"/>
        <scheme val="minor"/>
      </rPr>
      <t>No.SPIGOTS</t>
    </r>
    <r>
      <rPr>
        <sz val="11"/>
        <color theme="1"/>
        <rFont val="Calibri"/>
        <family val="2"/>
        <scheme val="minor"/>
      </rPr>
      <t>) Φ(</t>
    </r>
    <r>
      <rPr>
        <sz val="11"/>
        <color rgb="FFFF0000"/>
        <rFont val="Calibri"/>
        <family val="2"/>
        <scheme val="minor"/>
      </rPr>
      <t>DIAMETER</t>
    </r>
    <r>
      <rPr>
        <sz val="11"/>
        <color theme="1"/>
        <rFont val="Calibri"/>
        <family val="2"/>
        <scheme val="minor"/>
      </rPr>
      <t xml:space="preserve">) ΟΝ </t>
    </r>
    <r>
      <rPr>
        <sz val="11"/>
        <color rgb="FFFF0000"/>
        <rFont val="Calibri"/>
        <family val="2"/>
        <scheme val="minor"/>
      </rPr>
      <t>ΤΗΕ BACK OR SIDE - ΜΥΚΟΝΙΑΝ STYLE</t>
    </r>
  </si>
  <si>
    <r>
      <t>LINEAR EXTRACTOR GRILLE / RF:30mm ON PLENUM BOX WITH (</t>
    </r>
    <r>
      <rPr>
        <sz val="11"/>
        <color rgb="FFFF0000"/>
        <rFont val="Calibri"/>
        <family val="2"/>
        <scheme val="minor"/>
      </rPr>
      <t>No. SPIGOTS</t>
    </r>
    <r>
      <rPr>
        <sz val="11"/>
        <color theme="1"/>
        <rFont val="Calibri"/>
        <family val="2"/>
        <scheme val="minor"/>
      </rPr>
      <t>) Φ(</t>
    </r>
    <r>
      <rPr>
        <sz val="11"/>
        <color rgb="FFFF0000"/>
        <rFont val="Calibri"/>
        <family val="2"/>
        <scheme val="minor"/>
      </rPr>
      <t>DIAMETER</t>
    </r>
    <r>
      <rPr>
        <sz val="11"/>
        <color theme="1"/>
        <rFont val="Calibri"/>
        <family val="2"/>
        <scheme val="minor"/>
      </rPr>
      <t>) ΟΝ ΤΗΕ</t>
    </r>
    <r>
      <rPr>
        <sz val="11"/>
        <color rgb="FFFF0000"/>
        <rFont val="Calibri"/>
        <family val="2"/>
        <scheme val="minor"/>
      </rPr>
      <t xml:space="preserve"> ΒΑCK OR SIDE - MYKONIAN STYLE</t>
    </r>
  </si>
  <si>
    <r>
      <rPr>
        <sz val="11"/>
        <color rgb="FFFF0000"/>
        <rFont val="Calibri"/>
        <family val="2"/>
        <scheme val="minor"/>
      </rPr>
      <t>CEILING OR WALL</t>
    </r>
    <r>
      <rPr>
        <sz val="11"/>
        <color theme="1"/>
        <rFont val="Calibri"/>
        <family val="2"/>
        <scheme val="minor"/>
      </rPr>
      <t xml:space="preserve"> ACCESS PANEL (</t>
    </r>
    <r>
      <rPr>
        <sz val="11"/>
        <color rgb="FFFF0000"/>
        <rFont val="Calibri"/>
        <family val="2"/>
        <scheme val="minor"/>
      </rPr>
      <t>LENGTH x HEIGHT</t>
    </r>
    <r>
      <rPr>
        <sz val="11"/>
        <color theme="1"/>
        <rFont val="Calibri"/>
        <family val="2"/>
        <scheme val="minor"/>
      </rPr>
      <t xml:space="preserve">) - </t>
    </r>
    <r>
      <rPr>
        <sz val="11"/>
        <color rgb="FFFF0000"/>
        <rFont val="Calibri"/>
        <family val="2"/>
        <scheme val="minor"/>
      </rPr>
      <t>MYKONIAN STYLE</t>
    </r>
  </si>
  <si>
    <t>AC PLENUM BOX SUPPLY WITH 2 SPIGOTS Φ150 ON THE BACK / DEPTH: 100mm (DEPTH CAN BE CHANGED ACCORDING TO NEEDS)</t>
  </si>
  <si>
    <t>AC PLENUM BOX SUPPLY WITH 3 SPIGOTS Φ150 ON THE BACK / DEPTH: 100mm (DEPTH CAN BE CHANGED ACCORDING TO NEEDS)</t>
  </si>
  <si>
    <t>AC PLENUM BOX SUPPLY WITH 4 SPIGOTS Φ150 ON THE BACK / DEPTH: 100mm (DEPTH CAN BE CHANGED ACCORDING TO NEEDS)</t>
  </si>
  <si>
    <t>STANDARDS:</t>
  </si>
  <si>
    <t>OPENING SYSTEMS</t>
  </si>
  <si>
    <t>AIR COMPLETENESS BOX (MACHINERY)</t>
  </si>
  <si>
    <t>SPECIFICATIONS</t>
  </si>
  <si>
    <t>https://www.c2020.eu/wp-content/uploads/2023/01/c2020-catalogue-final_C2020_20mm-2.pdf</t>
  </si>
  <si>
    <t>https://www.c2020.eu/wp-content/uploads/2023/01/c2020-catalogue-final_C2020_25mm.pdf</t>
  </si>
  <si>
    <t>https://www.c2020.eu/wp-content/uploads/2023/01/c2020-catalogue-final_C2020_30mm.pdf</t>
  </si>
  <si>
    <t>https://www.c2020.eu/wp-content/uploads/2023/01/c2020-catalogue-final_C2020_40mm.pdf</t>
  </si>
  <si>
    <t>https://www.c2020.eu/wp-content/uploads/2023/01/c2020-catalogue-final_C2020_50mm.pdf</t>
  </si>
  <si>
    <t>https://www.c2020.eu/wp-content/uploads/2023/01/c2020-catalogue-final_C2020_65mm.pdf</t>
  </si>
  <si>
    <t>https://www.c2020.eu/wp-content/uploads/2023/01/c2020-catalogue-final_RETURN.pdf</t>
  </si>
  <si>
    <t>https://www.c2020.eu/wp-content/uploads/2023/01/2022-VENTUS-PLENUM-BOX_FREE-RETURN-2.pdf</t>
  </si>
  <si>
    <t>https://www.c2020.eu/wp-content/uploads/2023/01/2022-VENTUS-PLENUM-BOX_LINEAR_8-5.pdf</t>
  </si>
  <si>
    <t>https://www.c2020.eu/wp-content/uploads/2023/01/2022-VENTUS-PLENUM-BOX_LINEAR_12-5.pdf</t>
  </si>
  <si>
    <t>https://www.c2020.eu/wp-content/uploads/2023/01/2022-VENTUS-PLENUM-BOX_LINEAR_10-7.pdf</t>
  </si>
  <si>
    <t>https://www.c2020.eu/wp-content/uploads/2023/01/2022-VENTUS-PLENUM-BOX_V-SLOT.pdf</t>
  </si>
  <si>
    <t>https://www.c2020.eu/wp-content/uploads/2023/01/2022-VENTUS-PLENUM-BOX_AC-PLENUM-BOX.pdf</t>
  </si>
  <si>
    <t>https://www.c2020.eu/wp-content/uploads/2023/01/wc-Circle-spec.pdf</t>
  </si>
  <si>
    <t>https://www.c2020.eu/wp-content/uploads/2023/01/wc-Ellipse-spec.pdf</t>
  </si>
  <si>
    <t>https://www.c2020.eu/wp-content/uploads/2023/01/wc-Line-spec.pdf</t>
  </si>
  <si>
    <t>https://www.c2020.eu/wp-content/uploads/2023/01/wc-Square-spec.pdf</t>
  </si>
  <si>
    <t>https://dellinas.eu/3d-models/2slot-free-return/</t>
  </si>
  <si>
    <t>https://dellinas.eu/3d-models/2slot-supply/</t>
  </si>
  <si>
    <t>https://dellinas.eu/3d-models/3slot-free-return/</t>
  </si>
  <si>
    <t>https://dellinas.eu/3d-models/ac-plenum-box-2-f150/</t>
  </si>
  <si>
    <t>https://dellinas.eu/3d-models/ac-plenum-box-3-f150/</t>
  </si>
  <si>
    <t>https://dellinas.eu/3d-models/ac-plenum-box-4-f150/</t>
  </si>
  <si>
    <t>https://dellinas.eu/3d-models/c2020/</t>
  </si>
  <si>
    <t>https://dellinas.eu/3d-models/c2020-dummy/</t>
  </si>
  <si>
    <t>https://dellinas.eu/3d-models/c2020-dummy-corner-accessories-135-ceiling/</t>
  </si>
  <si>
    <t>https://dellinas.eu/3d-models/c2020-dummy-corner-accessories-135-metope/</t>
  </si>
  <si>
    <t>https://dellinas.eu/3d-models/c2020-dummy-corner-accessories-135-metope-2/</t>
  </si>
  <si>
    <t>https://dellinas.eu/3d-models/c2020-dummy-corner-accessories-90/</t>
  </si>
  <si>
    <t>https://dellinas.eu/3d-models/c2020-dummy-corner-accessories-90-metope/</t>
  </si>
  <si>
    <t>https://dellinas.eu/3d-models/c2020-dummy-corner-accessories-90-metope-2/</t>
  </si>
  <si>
    <t>https://dellinas.eu/3d-models/c2020-supply-dummy-return/</t>
  </si>
  <si>
    <t>https://dellinas.eu/3d-models/c2020-supply-return/</t>
  </si>
  <si>
    <t>https://dellinas.eu/3d-models/c2020-supply-corner-accessories-90-ceiling/</t>
  </si>
  <si>
    <t>https://dellinas.eu/3d-models/c2020-supply-corner-accessories-90-metope/</t>
  </si>
  <si>
    <t>https://dellinas.eu/3d-models/c2020-supply-corner-accessories-90-metope-2/</t>
  </si>
  <si>
    <t>https://dellinas.eu/3d-models/c2020-supply-curved-accessories-ceiling/</t>
  </si>
  <si>
    <t>https://dellinas.eu/3d-models/c2020-supply-curved-accessories-metope/</t>
  </si>
  <si>
    <t>https://dellinas.eu/3d-models/c2020-supply-curved-accessories-metope-2/</t>
  </si>
  <si>
    <t>https://dellinas.eu/3d-models/linear-grille-c8-5-free-return/</t>
  </si>
  <si>
    <t>https://dellinas.eu/3d-models/linear-grille-c8-5-supply/</t>
  </si>
  <si>
    <t>https://dellinas.eu/3d-models/pak1000-1slot/</t>
  </si>
  <si>
    <t>https://dellinas.eu/3d-models/pak1000-2slot/</t>
  </si>
  <si>
    <t>https://dellinas.eu/3d-models/pak1000-3slot/</t>
  </si>
  <si>
    <t>https://dellinas.eu/3d-models/pak1000-linear-12-5/</t>
  </si>
  <si>
    <t>https://dellinas.eu/3d-models/pak700-1slot/</t>
  </si>
  <si>
    <t>https://dellinas.eu/3d-models/pak700-2slot/</t>
  </si>
  <si>
    <t>https://dellinas.eu/3d-models/pak700-3slot/</t>
  </si>
  <si>
    <t>https://dellinas.eu/3d-models/pak700-linear-12-5/</t>
  </si>
  <si>
    <t>https://dellinas.eu/3d-models/reverse-frame-3-slot-grille-supply/</t>
  </si>
  <si>
    <t>https://dellinas.eu/3d-models/v-slot-free-return/</t>
  </si>
  <si>
    <t>https://dellinas.eu/3d-models/v-slot-supply/</t>
  </si>
  <si>
    <t>https://dellinas.eu/3d-models/wc-extractor-c2020/</t>
  </si>
  <si>
    <t>https://dellinas.eu/3d-models/wc-extractor-circular/</t>
  </si>
  <si>
    <t>https://dellinas.eu/3d-models/wc-extractor-oval/</t>
  </si>
  <si>
    <t>https://dellinas.eu/3d-models/wc-extractor-square/</t>
  </si>
  <si>
    <t>CAMOUFLAGE GRILLES</t>
  </si>
  <si>
    <t>https://dellinas.eu/3d-models/camouflage-corner-accessory/</t>
  </si>
  <si>
    <t>https://dellinas.eu/3d-models/camouflage-return/</t>
  </si>
  <si>
    <t>https://dellinas.eu/3d-models/camouflage-supply/</t>
  </si>
  <si>
    <t>CAMOUFLAGE CORNER ACCESSORY</t>
  </si>
  <si>
    <t>CAMOUFLAGE RETURN</t>
  </si>
  <si>
    <t>CAMOUFLAGE SUPPLY</t>
  </si>
  <si>
    <r>
      <t xml:space="preserve">CAMOUFLAGE CORNER ACCESSORY GRILLE </t>
    </r>
    <r>
      <rPr>
        <sz val="11"/>
        <color rgb="FFFF0000"/>
        <rFont val="Calibri"/>
        <family val="2"/>
        <scheme val="minor"/>
      </rPr>
      <t xml:space="preserve">(LENTH) </t>
    </r>
  </si>
  <si>
    <r>
      <t>CAMOUFLAGE FREE RETURN GRILLE</t>
    </r>
    <r>
      <rPr>
        <sz val="11"/>
        <color rgb="FFFF0000"/>
        <rFont val="Calibri"/>
        <family val="2"/>
        <scheme val="minor"/>
      </rPr>
      <t xml:space="preserve"> (LENTH)</t>
    </r>
    <r>
      <rPr>
        <sz val="11"/>
        <color theme="1"/>
        <rFont val="Calibri"/>
        <family val="2"/>
        <scheme val="minor"/>
      </rPr>
      <t xml:space="preserve"> WITH </t>
    </r>
    <r>
      <rPr>
        <sz val="11"/>
        <color rgb="FFFF0000"/>
        <rFont val="Calibri"/>
        <family val="2"/>
        <scheme val="minor"/>
      </rPr>
      <t>(No SPIGOTS)</t>
    </r>
    <r>
      <rPr>
        <sz val="11"/>
        <color theme="1"/>
        <rFont val="Calibri"/>
        <family val="2"/>
        <scheme val="minor"/>
      </rPr>
      <t xml:space="preserve">  Φ</t>
    </r>
    <r>
      <rPr>
        <sz val="11"/>
        <color rgb="FFFF0000"/>
        <rFont val="Calibri"/>
        <family val="2"/>
        <scheme val="minor"/>
      </rPr>
      <t>(DIAMETER)</t>
    </r>
  </si>
  <si>
    <r>
      <t xml:space="preserve">CAMOUFLAGE SUPPLY GRILLE </t>
    </r>
    <r>
      <rPr>
        <sz val="11"/>
        <color rgb="FFFF0000"/>
        <rFont val="Calibri"/>
        <family val="2"/>
        <scheme val="minor"/>
      </rPr>
      <t xml:space="preserve">(LENTH) </t>
    </r>
    <r>
      <rPr>
        <sz val="11"/>
        <color theme="1"/>
        <rFont val="Calibri"/>
        <family val="2"/>
        <scheme val="minor"/>
      </rPr>
      <t xml:space="preserve">WITH </t>
    </r>
    <r>
      <rPr>
        <sz val="11"/>
        <color rgb="FFFF0000"/>
        <rFont val="Calibri"/>
        <family val="2"/>
        <scheme val="minor"/>
      </rPr>
      <t xml:space="preserve">(No SPIGOTS) </t>
    </r>
    <r>
      <rPr>
        <sz val="11"/>
        <color theme="1"/>
        <rFont val="Calibri"/>
        <family val="2"/>
        <scheme val="minor"/>
      </rPr>
      <t xml:space="preserve"> </t>
    </r>
    <r>
      <rPr>
        <sz val="11"/>
        <rFont val="Calibri"/>
        <family val="2"/>
        <scheme val="minor"/>
      </rPr>
      <t>Φ</t>
    </r>
    <r>
      <rPr>
        <sz val="11"/>
        <color rgb="FFFF0000"/>
        <rFont val="Calibri"/>
        <family val="2"/>
        <scheme val="minor"/>
      </rPr>
      <t>(DIAMETER)</t>
    </r>
  </si>
  <si>
    <t xml:space="preserve"> AC PLENUM BOX 4 150</t>
  </si>
  <si>
    <t>https://camouflage.cy/</t>
  </si>
  <si>
    <t>https://dellinas.eu/3d-models/c2020-free-return/</t>
  </si>
  <si>
    <r>
      <t xml:space="preserve">Όλα τα συστήματα στομίων αέρα θα κατασκευάζονται από PVC foam board για αποφυγή υγροποίησής στην εξωτερική επιφάνεια του στομίου. Τα φύλλα PVC θα διαθέτουν εξαιρετικά χαμηλό συντελεστή θερμικής αγωγιμότητας 0,05W/m k .
Τα στόμια PVC θα κατασκευάζονται με εξέλαση (extrusion) και θα διαθέτουν αφρώδες υπόστρωμα με κλειστή κυψελωτή δομή και λεία, μη γυαλιστερή επιφάνεια χωρίς βαφή ώστε να είναι προετοιμασμένα για βαφεί στο χρώμα του τοίχου.
Κάθε στόμιο θα συνοδεύεται από plenum box κατασκευασμένο από θερμομονωτικό υλικό PVC foam board πάχους 12mm, χρώματος μαύρου, θα φέρει τις κατάλληλες αναμονές για σύνδεση με εύκαμπτους αεραγωγούς και θα ενσωματώνεται πλήρως σε κάθε είδος τοιχοποιίας.
Το PVC plenum θα ικανοποιεί το πρότυπο </t>
    </r>
    <r>
      <rPr>
        <b/>
        <sz val="11"/>
        <color theme="1"/>
        <rFont val="Calibri"/>
        <family val="2"/>
        <scheme val="minor"/>
      </rPr>
      <t>EN 61291-1:2017</t>
    </r>
    <r>
      <rPr>
        <sz val="11"/>
        <color theme="1"/>
        <rFont val="Calibri"/>
        <family val="2"/>
        <scheme val="minor"/>
      </rPr>
      <t xml:space="preserve">.
Όλα τα στόμια θα εγκαθίστανται με κρυφό τρόπο στήριξης, ενσωματωμένα στο plenum box, για μείωση απωλειών. 
Σε περίπτωση χρήσης στομίου ως στόμιο ελεύθερης επιστροφής, θα πρέπει να προσαρμόζεται μαύρη πλάτη προκειμένου να αποτρέπεται η ορατότητα της πίσω πλευράς από τον χρήστη.
Προτεινόμενη εταιρεία : </t>
    </r>
    <r>
      <rPr>
        <sz val="11"/>
        <color rgb="FFFF0000"/>
        <rFont val="Calibri"/>
        <family val="2"/>
        <scheme val="minor"/>
      </rPr>
      <t>VENTUS</t>
    </r>
  </si>
  <si>
    <r>
      <t xml:space="preserve">Τα plenum boxes θα κατασκευάζονται από θερμομονωτικό υλικό PVC foam board πάχους 12mm PVC, μαύρου χρώματος με κυλινδρικές ή οβάλ αναμονές, κατάλληλες για την σύνδεση του στομίου με τον κεντρικό αεραγωγό μέσω εύκαμπτων αεραγωγών.
Το PVC plenum θα ικανοποιεί το πρότυπο </t>
    </r>
    <r>
      <rPr>
        <b/>
        <sz val="11"/>
        <color theme="1"/>
        <rFont val="Calibri"/>
        <family val="2"/>
        <scheme val="minor"/>
      </rPr>
      <t>ΕΝ 61291-1:2017</t>
    </r>
    <r>
      <rPr>
        <sz val="11"/>
        <color theme="1"/>
        <rFont val="Calibri"/>
        <family val="2"/>
        <scheme val="minor"/>
      </rPr>
      <t>.</t>
    </r>
  </si>
  <si>
    <r>
      <t>All air vent systems will be made of PVC foam board to avoid liquefaction on the outer surface of the vent. PVC sheets will have an extremely low coefficient of thermal conductivity of 0.05W/m k .
The PVC spigots will be extruded and have a closed cell foam backing and a smooth, non-glossy, unpainted surface ready to be painted in the color of the wall.
Each outlet will be accompanied by a plenum box made of heat-insulating material PVC foam board 12mm thick, black in color, it will have the appropriate openings for connecting to flexible air ducts and will be fully integrated into any type of masonry.
The PVC plenum shall meet the</t>
    </r>
    <r>
      <rPr>
        <b/>
        <sz val="11"/>
        <color theme="1"/>
        <rFont val="Calibri"/>
        <family val="2"/>
        <scheme val="minor"/>
      </rPr>
      <t xml:space="preserve"> EN 61291-1:2017 </t>
    </r>
    <r>
      <rPr>
        <sz val="11"/>
        <color theme="1"/>
        <rFont val="Calibri"/>
        <family val="2"/>
        <scheme val="minor"/>
      </rPr>
      <t xml:space="preserve">standard.
All outlets will be installed in a hidden way of support, integrated in the plenum box, to reduce losses.
In the case of using a nozzle as a free return nozzle, a black back should be fitted to prevent the backside from being visible to the user.
Recommended company: </t>
    </r>
    <r>
      <rPr>
        <sz val="11"/>
        <color rgb="FFFF0000"/>
        <rFont val="Calibri"/>
        <family val="2"/>
        <scheme val="minor"/>
      </rPr>
      <t>VENTUS</t>
    </r>
  </si>
  <si>
    <r>
      <t xml:space="preserve">The plenum boxes will be made of heat-insulating material PVC foam board 12mm thick PVC, black in color with cylindrical or oval openings, suitable for connecting the mouth to the central air duct through flexible air ducts.
The PVC plenum will satisfy </t>
    </r>
    <r>
      <rPr>
        <b/>
        <sz val="11"/>
        <color theme="1"/>
        <rFont val="Calibri"/>
        <family val="2"/>
        <scheme val="minor"/>
      </rPr>
      <t xml:space="preserve">EN 61291-1:2017 </t>
    </r>
    <r>
      <rPr>
        <sz val="11"/>
        <color theme="1"/>
        <rFont val="Calibri"/>
        <family val="2"/>
        <scheme val="minor"/>
      </rPr>
      <t>standard.</t>
    </r>
  </si>
  <si>
    <t>https://www.proairkit.com/pak700/pak700-c2020-40mm/</t>
  </si>
  <si>
    <t>https://www.proairkit.com/pak700/pak700-reverse-2-slot-25mm-opening/</t>
  </si>
  <si>
    <t>https://www.proairkit.com/pak700/pak700-reverse-3-slot-20mm-opening/</t>
  </si>
  <si>
    <t>https://www.proairkit.com/pak700/pak700-reverse-linear-c12-5-rf30mm/</t>
  </si>
  <si>
    <t>https://www.proairkit.com/pak1000/pak1000-c2020-50mm/</t>
  </si>
  <si>
    <t>https://www.proairkit.com/pak1000/pak1000-reverse-2-slot-30mm-opening/</t>
  </si>
  <si>
    <t>https://www.proairkit.com/pak1000/pak1000-reverse-3-slot-25mm-opening/</t>
  </si>
  <si>
    <t>https://www.proairkit.com/pak1000/pak1000-reverse-linear-c12-5-rf30mm/</t>
  </si>
  <si>
    <t>https://dellinas.eu/wp-content/uploads/2023/10/2-Slot.pdf</t>
  </si>
  <si>
    <t>https://dellinas.eu/wp-content/uploads/2023/10/3-Slot.pdf</t>
  </si>
  <si>
    <t>https://dellinas.eu/wp-content/uploads/2023/10/Camouflage.pdf</t>
  </si>
  <si>
    <t>•	https://dellinas.eu/3d-models/mykonian-1slot/</t>
  </si>
  <si>
    <t>•	https://dellinas.eu/3d-models/mykonian-2slot/</t>
  </si>
  <si>
    <t>•	https://dellinas.eu/3d-models/mykonian-wc-extractor/</t>
  </si>
  <si>
    <t>https://dellinas.eu/3d-models/mykonian-access-panel/</t>
  </si>
  <si>
    <r>
      <rPr>
        <b/>
        <u/>
        <sz val="16"/>
        <color rgb="FFFF0000"/>
        <rFont val="Calibri"/>
        <family val="2"/>
        <scheme val="minor"/>
      </rPr>
      <t xml:space="preserve">ΣΗΜΕΙΩΣΗ: </t>
    </r>
    <r>
      <rPr>
        <sz val="16"/>
        <rFont val="Calibri"/>
        <family val="2"/>
        <scheme val="minor"/>
      </rPr>
      <t xml:space="preserve">Ο πιο κάτω πίνακας υπολογισμού δημιουργήθηκε σύμφωνα με τις μετρήσεις και τα ευρήματα που δώθηκαν από το Πανεπηστίμιο Πάτρας (τμήμα ρευστοδυναμικής) κατά την πειραματική εξέταση των συστημάτων VENTUS. Τα πειράματα έγινα υπό την επίβλεψη του Διδάκτωρ κυρίου Διονύση Μάργαρη. </t>
    </r>
  </si>
  <si>
    <t>Το υπολογιστικό πρόγραμμα δημιουργήθηκε με γραμμική προσέγγιση των διαγραμμάτων. Από την προσέγγιση δημιουργήθηκαν κάποιες εξισώσεις που είναι κοντά ή και ίσες με τα πραγματικά δεδομένα. Είναι γνωστό στο κόσμο της μηχανικής το πειραματικό λάθος.</t>
  </si>
  <si>
    <t>Requested Velocity in the Flexible (m/s)</t>
  </si>
  <si>
    <t>Φ100</t>
  </si>
  <si>
    <t>C2020</t>
  </si>
  <si>
    <t>VENTUS</t>
  </si>
  <si>
    <t xml:space="preserve">2-SLOT / SLOT: 25mm </t>
  </si>
  <si>
    <t xml:space="preserve">2-SLOT / SLOT: 30mm </t>
  </si>
  <si>
    <t xml:space="preserve">3-SLOT / SLOT: 20mm </t>
  </si>
  <si>
    <t xml:space="preserve">3-SLOT / SLOT: 25mm </t>
  </si>
  <si>
    <t>CAMOUFLAGE</t>
  </si>
  <si>
    <t>Throw (m)_0.5m/s</t>
  </si>
  <si>
    <t>Spigot on the Side - Deflector in the Center</t>
  </si>
  <si>
    <t>ΔP(Pa)</t>
  </si>
  <si>
    <t>Spigot on the Back - Deflector in the Center</t>
  </si>
  <si>
    <t>Spigot on the Side - Deflector in the Side</t>
  </si>
  <si>
    <t>Δpa</t>
  </si>
  <si>
    <t>dB</t>
  </si>
  <si>
    <t>Throw</t>
  </si>
  <si>
    <r>
      <t xml:space="preserve"> </t>
    </r>
    <r>
      <rPr>
        <b/>
        <sz val="22"/>
        <color rgb="FFFF0000"/>
        <rFont val="Calibri"/>
        <family val="2"/>
      </rPr>
      <t>←Optional</t>
    </r>
  </si>
  <si>
    <r>
      <t xml:space="preserve"> </t>
    </r>
    <r>
      <rPr>
        <b/>
        <sz val="22"/>
        <color rgb="FFFF0000"/>
        <rFont val="Calibri"/>
        <family val="2"/>
      </rPr>
      <t>←</t>
    </r>
    <r>
      <rPr>
        <b/>
        <sz val="22"/>
        <color rgb="FFFF0000"/>
        <rFont val="Calibri"/>
        <family val="2"/>
        <scheme val="minor"/>
      </rPr>
      <t>Mandatory</t>
    </r>
  </si>
  <si>
    <t>Noise (dB)</t>
  </si>
  <si>
    <t>Home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</si>
</sst>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8" x14ac:knownFonts="1">
    <font>
      <sz val="11"/>
      <color theme="1"/>
      <name val="Calibri"/>
      <family val="2"/>
      <scheme val="minor"/>
    </font>
    <font>
      <sz val="11"/>
      <color rgb="FFFF0000"/>
      <name val="Calibri"/>
      <family val="2"/>
      <scheme val="minor"/>
    </font>
    <font>
      <b/>
      <sz val="20"/>
      <color theme="1"/>
      <name val="Calibri"/>
      <family val="2"/>
      <scheme val="minor"/>
    </font>
    <font>
      <sz val="11"/>
      <name val="Calibri"/>
      <family val="2"/>
      <scheme val="minor"/>
    </font>
    <font>
      <u/>
      <sz val="11"/>
      <color theme="10"/>
      <name val="Calibri"/>
      <family val="2"/>
      <scheme val="minor"/>
    </font>
    <font>
      <b/>
      <sz val="11"/>
      <color theme="1"/>
      <name val="Calibri"/>
      <family val="2"/>
      <scheme val="minor"/>
    </font>
    <font>
      <sz val="11"/>
      <color rgb="FFFF0000"/>
      <name val="Century Gothic"/>
      <family val="2"/>
    </font>
    <font>
      <sz val="11"/>
      <color rgb="FFFF0000"/>
      <name val="Calibri"/>
      <family val="2"/>
    </font>
    <font>
      <b/>
      <sz val="11"/>
      <color theme="1"/>
      <name val="Century Gothic"/>
      <family val="2"/>
    </font>
    <font>
      <b/>
      <sz val="28"/>
      <color theme="1"/>
      <name val="Calibri"/>
      <family val="2"/>
      <scheme val="minor"/>
    </font>
    <font>
      <b/>
      <sz val="28"/>
      <color theme="1"/>
      <name val="Calibri"/>
      <family val="2"/>
    </font>
    <font>
      <b/>
      <sz val="18"/>
      <color theme="1"/>
      <name val="Calibri"/>
      <family val="2"/>
      <scheme val="minor"/>
    </font>
    <font>
      <b/>
      <sz val="14"/>
      <color theme="1"/>
      <name val="Calibri"/>
      <family val="2"/>
      <scheme val="minor"/>
    </font>
    <font>
      <sz val="18"/>
      <color theme="1"/>
      <name val="Calibri"/>
      <family val="2"/>
      <scheme val="minor"/>
    </font>
    <font>
      <sz val="16"/>
      <color rgb="FFFF0000"/>
      <name val="Calibri"/>
      <family val="2"/>
      <scheme val="minor"/>
    </font>
    <font>
      <b/>
      <u/>
      <sz val="16"/>
      <color rgb="FFFF0000"/>
      <name val="Calibri"/>
      <family val="2"/>
      <scheme val="minor"/>
    </font>
    <font>
      <sz val="16"/>
      <name val="Calibri"/>
      <family val="2"/>
      <scheme val="minor"/>
    </font>
    <font>
      <b/>
      <sz val="16"/>
      <color rgb="FFFF0000"/>
      <name val="Calibri"/>
      <family val="2"/>
      <scheme val="minor"/>
    </font>
    <font>
      <sz val="22"/>
      <color theme="1"/>
      <name val="Calibri"/>
      <family val="2"/>
      <scheme val="minor"/>
    </font>
    <font>
      <b/>
      <sz val="22"/>
      <color theme="1"/>
      <name val="Calibri"/>
      <family val="2"/>
      <scheme val="minor"/>
    </font>
    <font>
      <b/>
      <sz val="48"/>
      <color theme="0"/>
      <name val="Calibri"/>
      <family val="2"/>
      <scheme val="minor"/>
    </font>
    <font>
      <b/>
      <sz val="48"/>
      <color theme="1"/>
      <name val="Calibri"/>
      <family val="2"/>
      <scheme val="minor"/>
    </font>
    <font>
      <sz val="11"/>
      <color theme="0"/>
      <name val="Calibri"/>
      <family val="2"/>
      <scheme val="minor"/>
    </font>
    <font>
      <sz val="22"/>
      <color theme="0"/>
      <name val="Calibri"/>
      <family val="2"/>
      <scheme val="minor"/>
    </font>
    <font>
      <sz val="18"/>
      <color theme="0"/>
      <name val="Calibri"/>
      <family val="2"/>
      <scheme val="minor"/>
    </font>
    <font>
      <b/>
      <sz val="36"/>
      <color rgb="FFFF0000"/>
      <name val="Calibri"/>
      <family val="2"/>
      <scheme val="minor"/>
    </font>
    <font>
      <b/>
      <sz val="22"/>
      <color rgb="FFFF0000"/>
      <name val="Calibri"/>
      <family val="2"/>
      <scheme val="minor"/>
    </font>
    <font>
      <b/>
      <sz val="22"/>
      <color rgb="FFFF0000"/>
      <name val="Calibri"/>
      <family val="2"/>
    </font>
  </fonts>
  <fills count="15">
    <fill>
      <patternFill patternType="none"/>
    </fill>
    <fill>
      <patternFill patternType="gray125"/>
    </fill>
    <fill>
      <patternFill patternType="solid">
        <fgColor theme="4" tint="0.39997558519241921"/>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theme="8" tint="0.59999389629810485"/>
        <bgColor indexed="64"/>
      </patternFill>
    </fill>
    <fill>
      <patternFill patternType="solid">
        <fgColor theme="0" tint="-0.34998626667073579"/>
        <bgColor indexed="64"/>
      </patternFill>
    </fill>
    <fill>
      <patternFill patternType="solid">
        <fgColor rgb="FF92D050"/>
        <bgColor indexed="64"/>
      </patternFill>
    </fill>
    <fill>
      <patternFill patternType="solid">
        <fgColor rgb="FF00B0F0"/>
        <bgColor indexed="64"/>
      </patternFill>
    </fill>
    <fill>
      <patternFill patternType="solid">
        <fgColor rgb="FFFFC000"/>
        <bgColor indexed="64"/>
      </patternFill>
    </fill>
    <fill>
      <patternFill patternType="solid">
        <fgColor rgb="FFFF0000"/>
        <bgColor indexed="64"/>
      </patternFill>
    </fill>
    <fill>
      <patternFill patternType="solid">
        <fgColor theme="1"/>
        <bgColor indexed="64"/>
      </patternFill>
    </fill>
    <fill>
      <patternFill patternType="solid">
        <fgColor theme="2" tint="-9.9978637043366805E-2"/>
        <bgColor indexed="64"/>
      </patternFill>
    </fill>
    <fill>
      <patternFill patternType="solid">
        <fgColor rgb="FF00B050"/>
        <bgColor indexed="64"/>
      </patternFill>
    </fill>
  </fills>
  <borders count="32">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s>
  <cellStyleXfs count="2">
    <xf numFmtId="0" fontId="0" fillId="0" borderId="0"/>
    <xf numFmtId="0" fontId="4" fillId="0" borderId="0" applyNumberFormat="0" applyFill="0" applyBorder="0" applyAlignment="0" applyProtection="0"/>
  </cellStyleXfs>
  <cellXfs count="294">
    <xf numFmtId="0" fontId="0" fillId="0" borderId="0" xfId="0"/>
    <xf numFmtId="0" fontId="0" fillId="0" borderId="2" xfId="0" applyBorder="1" applyAlignment="1">
      <alignment horizontal="center" vertical="center"/>
    </xf>
    <xf numFmtId="0" fontId="2" fillId="2" borderId="6" xfId="0" applyFont="1" applyFill="1" applyBorder="1" applyAlignment="1">
      <alignment horizontal="center" vertical="center"/>
    </xf>
    <xf numFmtId="0" fontId="0" fillId="0" borderId="4" xfId="0" applyBorder="1" applyAlignment="1">
      <alignment horizontal="center" vertical="center" wrapText="1"/>
    </xf>
    <xf numFmtId="0" fontId="0" fillId="0" borderId="3" xfId="0" applyBorder="1" applyAlignment="1">
      <alignment horizontal="center" vertical="center"/>
    </xf>
    <xf numFmtId="0" fontId="0" fillId="0" borderId="4" xfId="0" applyBorder="1" applyAlignment="1">
      <alignment horizontal="center" vertical="center"/>
    </xf>
    <xf numFmtId="0" fontId="3" fillId="0" borderId="4" xfId="0" applyFont="1" applyBorder="1" applyAlignment="1">
      <alignment horizontal="center"/>
    </xf>
    <xf numFmtId="0" fontId="5" fillId="0" borderId="4" xfId="0" applyFont="1" applyBorder="1" applyAlignment="1">
      <alignment horizontal="center" vertical="center" wrapText="1"/>
    </xf>
    <xf numFmtId="0" fontId="5" fillId="0" borderId="4" xfId="0" applyFont="1" applyBorder="1" applyAlignment="1">
      <alignment horizontal="center" vertical="center"/>
    </xf>
    <xf numFmtId="0" fontId="0" fillId="5" borderId="1" xfId="0" applyFill="1" applyBorder="1" applyAlignment="1">
      <alignment horizontal="center" vertical="center"/>
    </xf>
    <xf numFmtId="0" fontId="0" fillId="0" borderId="0" xfId="0" applyAlignment="1">
      <alignment horizontal="center" vertical="center"/>
    </xf>
    <xf numFmtId="0" fontId="4" fillId="0" borderId="0" xfId="1" applyBorder="1" applyAlignment="1">
      <alignment horizontal="center" vertical="center"/>
    </xf>
    <xf numFmtId="0" fontId="0" fillId="0" borderId="9" xfId="0" applyBorder="1" applyAlignment="1">
      <alignment horizontal="center" vertical="center"/>
    </xf>
    <xf numFmtId="0" fontId="0" fillId="5" borderId="2" xfId="0" applyFill="1" applyBorder="1" applyAlignment="1">
      <alignment horizontal="center" vertical="center"/>
    </xf>
    <xf numFmtId="0" fontId="0" fillId="5" borderId="9" xfId="0" applyFill="1" applyBorder="1" applyAlignment="1">
      <alignment horizontal="center" vertical="center"/>
    </xf>
    <xf numFmtId="0" fontId="2" fillId="5" borderId="0" xfId="0" applyFont="1" applyFill="1" applyAlignment="1">
      <alignment vertical="center"/>
    </xf>
    <xf numFmtId="0" fontId="13" fillId="0" borderId="0" xfId="0" applyFont="1"/>
    <xf numFmtId="0" fontId="11" fillId="7" borderId="24" xfId="0" applyFont="1" applyFill="1" applyBorder="1" applyAlignment="1" applyProtection="1">
      <alignment horizontal="center" vertical="center"/>
      <protection hidden="1"/>
    </xf>
    <xf numFmtId="0" fontId="11" fillId="7" borderId="2" xfId="0" applyFont="1" applyFill="1" applyBorder="1" applyAlignment="1" applyProtection="1">
      <alignment horizontal="center" vertical="center"/>
      <protection hidden="1"/>
    </xf>
    <xf numFmtId="0" fontId="11" fillId="7" borderId="25" xfId="0" applyFont="1" applyFill="1" applyBorder="1" applyAlignment="1" applyProtection="1">
      <alignment horizontal="center" vertical="center"/>
      <protection hidden="1"/>
    </xf>
    <xf numFmtId="0" fontId="11" fillId="4" borderId="26" xfId="0" applyFont="1" applyFill="1" applyBorder="1" applyAlignment="1" applyProtection="1">
      <alignment horizontal="center" vertical="center"/>
      <protection hidden="1"/>
    </xf>
    <xf numFmtId="2" fontId="11" fillId="4" borderId="2" xfId="0" applyNumberFormat="1" applyFont="1" applyFill="1" applyBorder="1" applyAlignment="1" applyProtection="1">
      <alignment horizontal="center" vertical="center"/>
      <protection hidden="1"/>
    </xf>
    <xf numFmtId="1" fontId="11" fillId="4" borderId="2" xfId="0" applyNumberFormat="1" applyFont="1" applyFill="1" applyBorder="1" applyAlignment="1" applyProtection="1">
      <alignment horizontal="center" vertical="center"/>
      <protection hidden="1"/>
    </xf>
    <xf numFmtId="0" fontId="11" fillId="8" borderId="26" xfId="0" applyFont="1" applyFill="1" applyBorder="1" applyAlignment="1" applyProtection="1">
      <alignment horizontal="center" vertical="center"/>
      <protection hidden="1"/>
    </xf>
    <xf numFmtId="2" fontId="11" fillId="8" borderId="2" xfId="0" applyNumberFormat="1" applyFont="1" applyFill="1" applyBorder="1" applyAlignment="1" applyProtection="1">
      <alignment horizontal="center" vertical="center"/>
      <protection hidden="1"/>
    </xf>
    <xf numFmtId="1" fontId="11" fillId="8" borderId="2" xfId="0" applyNumberFormat="1" applyFont="1" applyFill="1" applyBorder="1" applyAlignment="1" applyProtection="1">
      <alignment horizontal="center" vertical="center"/>
      <protection hidden="1"/>
    </xf>
    <xf numFmtId="0" fontId="11" fillId="9" borderId="26" xfId="0" applyFont="1" applyFill="1" applyBorder="1" applyAlignment="1" applyProtection="1">
      <alignment horizontal="center" vertical="center"/>
      <protection hidden="1"/>
    </xf>
    <xf numFmtId="2" fontId="11" fillId="9" borderId="2" xfId="0" applyNumberFormat="1" applyFont="1" applyFill="1" applyBorder="1" applyAlignment="1" applyProtection="1">
      <alignment horizontal="center" vertical="center"/>
      <protection hidden="1"/>
    </xf>
    <xf numFmtId="1" fontId="11" fillId="9" borderId="2" xfId="0" applyNumberFormat="1" applyFont="1" applyFill="1" applyBorder="1" applyAlignment="1" applyProtection="1">
      <alignment horizontal="center" vertical="center"/>
      <protection hidden="1"/>
    </xf>
    <xf numFmtId="0" fontId="11" fillId="10" borderId="26" xfId="0" applyFont="1" applyFill="1" applyBorder="1" applyAlignment="1" applyProtection="1">
      <alignment horizontal="center" vertical="center"/>
      <protection hidden="1"/>
    </xf>
    <xf numFmtId="2" fontId="11" fillId="10" borderId="2" xfId="0" applyNumberFormat="1" applyFont="1" applyFill="1" applyBorder="1" applyAlignment="1" applyProtection="1">
      <alignment horizontal="center" vertical="center"/>
      <protection hidden="1"/>
    </xf>
    <xf numFmtId="1" fontId="11" fillId="10" borderId="2" xfId="0" applyNumberFormat="1" applyFont="1" applyFill="1" applyBorder="1" applyAlignment="1" applyProtection="1">
      <alignment horizontal="center" vertical="center"/>
      <protection hidden="1"/>
    </xf>
    <xf numFmtId="0" fontId="11" fillId="11" borderId="26" xfId="0" applyFont="1" applyFill="1" applyBorder="1" applyAlignment="1" applyProtection="1">
      <alignment horizontal="center" vertical="center"/>
      <protection hidden="1"/>
    </xf>
    <xf numFmtId="2" fontId="11" fillId="11" borderId="2" xfId="0" applyNumberFormat="1" applyFont="1" applyFill="1" applyBorder="1" applyAlignment="1" applyProtection="1">
      <alignment horizontal="center" vertical="center"/>
      <protection hidden="1"/>
    </xf>
    <xf numFmtId="1" fontId="11" fillId="11" borderId="2" xfId="0" applyNumberFormat="1" applyFont="1" applyFill="1" applyBorder="1" applyAlignment="1" applyProtection="1">
      <alignment horizontal="center" vertical="center"/>
      <protection hidden="1"/>
    </xf>
    <xf numFmtId="0" fontId="4" fillId="0" borderId="0" xfId="1"/>
    <xf numFmtId="164" fontId="11" fillId="4" borderId="2" xfId="0" applyNumberFormat="1" applyFont="1" applyFill="1" applyBorder="1" applyAlignment="1" applyProtection="1">
      <alignment horizontal="center" vertical="center"/>
      <protection hidden="1"/>
    </xf>
    <xf numFmtId="164" fontId="11" fillId="8" borderId="2" xfId="0" applyNumberFormat="1" applyFont="1" applyFill="1" applyBorder="1" applyAlignment="1" applyProtection="1">
      <alignment horizontal="center" vertical="center"/>
      <protection hidden="1"/>
    </xf>
    <xf numFmtId="164" fontId="11" fillId="9" borderId="2" xfId="0" applyNumberFormat="1" applyFont="1" applyFill="1" applyBorder="1" applyAlignment="1" applyProtection="1">
      <alignment horizontal="center" vertical="center"/>
      <protection hidden="1"/>
    </xf>
    <xf numFmtId="164" fontId="11" fillId="10" borderId="2" xfId="0" applyNumberFormat="1" applyFont="1" applyFill="1" applyBorder="1" applyAlignment="1" applyProtection="1">
      <alignment horizontal="center" vertical="center"/>
      <protection hidden="1"/>
    </xf>
    <xf numFmtId="164" fontId="11" fillId="11" borderId="2" xfId="0" applyNumberFormat="1" applyFont="1" applyFill="1" applyBorder="1" applyAlignment="1" applyProtection="1">
      <alignment horizontal="center" vertical="center"/>
      <protection hidden="1"/>
    </xf>
    <xf numFmtId="0" fontId="2" fillId="2" borderId="2" xfId="0" applyFont="1" applyFill="1" applyBorder="1" applyAlignment="1">
      <alignment horizontal="center" vertical="center"/>
    </xf>
    <xf numFmtId="0" fontId="2" fillId="0" borderId="0" xfId="0" applyFont="1" applyAlignment="1">
      <alignment vertical="center"/>
    </xf>
    <xf numFmtId="0" fontId="2" fillId="0" borderId="4" xfId="0" applyFont="1" applyBorder="1" applyAlignment="1">
      <alignment vertical="center"/>
    </xf>
    <xf numFmtId="0" fontId="2" fillId="2" borderId="11" xfId="0" applyFont="1" applyFill="1" applyBorder="1" applyAlignment="1">
      <alignment horizontal="center" vertical="center"/>
    </xf>
    <xf numFmtId="0" fontId="2" fillId="2" borderId="1" xfId="0" applyFont="1" applyFill="1" applyBorder="1" applyAlignment="1">
      <alignment horizontal="center" vertical="center"/>
    </xf>
    <xf numFmtId="0" fontId="0" fillId="0" borderId="1" xfId="0" applyBorder="1"/>
    <xf numFmtId="0" fontId="0" fillId="5" borderId="6" xfId="0" applyFill="1" applyBorder="1" applyAlignment="1">
      <alignment horizontal="center" vertical="center"/>
    </xf>
    <xf numFmtId="0" fontId="4" fillId="5" borderId="0" xfId="1" applyFill="1" applyBorder="1" applyAlignment="1">
      <alignment horizontal="center" vertical="center"/>
    </xf>
    <xf numFmtId="0" fontId="0" fillId="0" borderId="0" xfId="0" applyAlignment="1">
      <alignment horizontal="center"/>
    </xf>
    <xf numFmtId="0" fontId="0" fillId="5" borderId="0" xfId="0" applyFill="1" applyAlignment="1">
      <alignment horizontal="center" vertical="center"/>
    </xf>
    <xf numFmtId="0" fontId="5" fillId="5" borderId="0" xfId="0" applyFont="1" applyFill="1" applyAlignment="1">
      <alignment horizontal="center" vertical="center"/>
    </xf>
    <xf numFmtId="164" fontId="11" fillId="13" borderId="2" xfId="0" applyNumberFormat="1" applyFont="1" applyFill="1" applyBorder="1" applyAlignment="1" applyProtection="1">
      <alignment horizontal="center" vertical="center"/>
      <protection hidden="1"/>
    </xf>
    <xf numFmtId="2" fontId="11" fillId="13" borderId="2" xfId="0" applyNumberFormat="1" applyFont="1" applyFill="1" applyBorder="1" applyAlignment="1" applyProtection="1">
      <alignment horizontal="center" vertical="center"/>
      <protection hidden="1"/>
    </xf>
    <xf numFmtId="1" fontId="11" fillId="13" borderId="2" xfId="0" applyNumberFormat="1" applyFont="1" applyFill="1" applyBorder="1" applyAlignment="1" applyProtection="1">
      <alignment horizontal="center" vertical="center"/>
      <protection hidden="1"/>
    </xf>
    <xf numFmtId="0" fontId="11" fillId="13" borderId="29" xfId="0" applyFont="1" applyFill="1" applyBorder="1" applyAlignment="1" applyProtection="1">
      <alignment horizontal="center" vertical="center"/>
      <protection hidden="1"/>
    </xf>
    <xf numFmtId="164" fontId="11" fillId="13" borderId="15" xfId="0" applyNumberFormat="1" applyFont="1" applyFill="1" applyBorder="1" applyAlignment="1" applyProtection="1">
      <alignment horizontal="center" vertical="center"/>
      <protection hidden="1"/>
    </xf>
    <xf numFmtId="2" fontId="11" fillId="13" borderId="15" xfId="0" applyNumberFormat="1" applyFont="1" applyFill="1" applyBorder="1" applyAlignment="1" applyProtection="1">
      <alignment horizontal="center" vertical="center"/>
      <protection hidden="1"/>
    </xf>
    <xf numFmtId="1" fontId="11" fillId="13" borderId="15" xfId="0" applyNumberFormat="1" applyFont="1" applyFill="1" applyBorder="1" applyAlignment="1" applyProtection="1">
      <alignment horizontal="center" vertical="center"/>
      <protection hidden="1"/>
    </xf>
    <xf numFmtId="0" fontId="11" fillId="13" borderId="2" xfId="0" applyFont="1" applyFill="1" applyBorder="1" applyAlignment="1" applyProtection="1">
      <alignment horizontal="center" vertical="center"/>
      <protection hidden="1"/>
    </xf>
    <xf numFmtId="0" fontId="18" fillId="0" borderId="0" xfId="0" applyFont="1" applyAlignment="1">
      <alignment horizontal="center" vertical="center"/>
    </xf>
    <xf numFmtId="0" fontId="13" fillId="0" borderId="0" xfId="0" applyFont="1" applyAlignment="1">
      <alignment horizontal="center" vertical="center"/>
    </xf>
    <xf numFmtId="0" fontId="22" fillId="0" borderId="0" xfId="0" applyFont="1"/>
    <xf numFmtId="0" fontId="22" fillId="0" borderId="0" xfId="0" applyFont="1" applyAlignment="1">
      <alignment horizontal="center" vertical="center"/>
    </xf>
    <xf numFmtId="0" fontId="23" fillId="0" borderId="0" xfId="0" applyFont="1"/>
    <xf numFmtId="0" fontId="23" fillId="0" borderId="0" xfId="0" applyFont="1" applyAlignment="1">
      <alignment horizontal="center" vertical="center"/>
    </xf>
    <xf numFmtId="0" fontId="24" fillId="0" borderId="0" xfId="0" applyFont="1"/>
    <xf numFmtId="0" fontId="24" fillId="0" borderId="0" xfId="0" applyFont="1" applyAlignment="1">
      <alignment horizontal="center" vertical="center"/>
    </xf>
    <xf numFmtId="165" fontId="24" fillId="0" borderId="0" xfId="0" applyNumberFormat="1" applyFont="1" applyAlignment="1">
      <alignment horizontal="center" vertical="center"/>
    </xf>
    <xf numFmtId="2" fontId="24" fillId="0" borderId="0" xfId="0" applyNumberFormat="1" applyFont="1" applyAlignment="1">
      <alignment horizontal="center" vertical="center"/>
    </xf>
    <xf numFmtId="2" fontId="22" fillId="0" borderId="0" xfId="0" applyNumberFormat="1" applyFont="1"/>
    <xf numFmtId="2" fontId="22" fillId="0" borderId="0" xfId="0" applyNumberFormat="1" applyFont="1" applyAlignment="1">
      <alignment horizontal="center" vertical="center"/>
    </xf>
    <xf numFmtId="164" fontId="11" fillId="4" borderId="9" xfId="0" applyNumberFormat="1" applyFont="1" applyFill="1" applyBorder="1" applyAlignment="1" applyProtection="1">
      <alignment horizontal="center" vertical="center"/>
      <protection hidden="1"/>
    </xf>
    <xf numFmtId="2" fontId="11" fillId="4" borderId="9" xfId="0" applyNumberFormat="1" applyFont="1" applyFill="1" applyBorder="1" applyAlignment="1" applyProtection="1">
      <alignment horizontal="center" vertical="center"/>
      <protection hidden="1"/>
    </xf>
    <xf numFmtId="1" fontId="11" fillId="4" borderId="9" xfId="0" applyNumberFormat="1" applyFont="1" applyFill="1" applyBorder="1" applyAlignment="1" applyProtection="1">
      <alignment horizontal="center" vertical="center"/>
      <protection hidden="1"/>
    </xf>
    <xf numFmtId="164" fontId="11" fillId="4" borderId="15" xfId="0" applyNumberFormat="1" applyFont="1" applyFill="1" applyBorder="1" applyAlignment="1" applyProtection="1">
      <alignment horizontal="center" vertical="center"/>
      <protection hidden="1"/>
    </xf>
    <xf numFmtId="2" fontId="11" fillId="4" borderId="15" xfId="0" applyNumberFormat="1" applyFont="1" applyFill="1" applyBorder="1" applyAlignment="1" applyProtection="1">
      <alignment horizontal="center" vertical="center"/>
      <protection hidden="1"/>
    </xf>
    <xf numFmtId="1" fontId="11" fillId="4" borderId="15" xfId="0" applyNumberFormat="1" applyFont="1" applyFill="1" applyBorder="1" applyAlignment="1" applyProtection="1">
      <alignment horizontal="center" vertical="center"/>
      <protection hidden="1"/>
    </xf>
    <xf numFmtId="0" fontId="0" fillId="0" borderId="2" xfId="0" applyBorder="1" applyAlignment="1">
      <alignment horizontal="left" vertical="top" wrapText="1"/>
    </xf>
    <xf numFmtId="0" fontId="12" fillId="6" borderId="2" xfId="0" applyFont="1" applyFill="1" applyBorder="1" applyAlignment="1">
      <alignment horizontal="center" vertical="center"/>
    </xf>
    <xf numFmtId="0" fontId="11" fillId="6" borderId="2" xfId="0" applyFont="1" applyFill="1" applyBorder="1" applyAlignment="1">
      <alignment horizontal="center" vertical="center"/>
    </xf>
    <xf numFmtId="0" fontId="0" fillId="0" borderId="14" xfId="0" applyBorder="1" applyAlignment="1">
      <alignment horizontal="center"/>
    </xf>
    <xf numFmtId="0" fontId="4" fillId="0" borderId="15" xfId="1" applyBorder="1" applyAlignment="1">
      <alignment horizontal="center" vertical="center"/>
    </xf>
    <xf numFmtId="0" fontId="0" fillId="0" borderId="15" xfId="0" applyBorder="1" applyAlignment="1">
      <alignment horizontal="center" vertical="center"/>
    </xf>
    <xf numFmtId="0" fontId="5" fillId="5" borderId="6"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8" xfId="0" applyFont="1" applyFill="1" applyBorder="1" applyAlignment="1">
      <alignment horizontal="center" vertical="center"/>
    </xf>
    <xf numFmtId="0" fontId="0" fillId="5" borderId="6" xfId="0" applyFill="1" applyBorder="1" applyAlignment="1">
      <alignment horizontal="center" vertical="center" wrapText="1"/>
    </xf>
    <xf numFmtId="0" fontId="0" fillId="5" borderId="7" xfId="0" applyFill="1" applyBorder="1" applyAlignment="1">
      <alignment horizontal="center" vertical="center" wrapText="1"/>
    </xf>
    <xf numFmtId="0" fontId="0" fillId="5" borderId="8" xfId="0" applyFill="1" applyBorder="1" applyAlignment="1">
      <alignment horizontal="center" vertical="center" wrapText="1"/>
    </xf>
    <xf numFmtId="0" fontId="0" fillId="5" borderId="6" xfId="0" applyFill="1" applyBorder="1" applyAlignment="1">
      <alignment horizontal="center" vertical="center"/>
    </xf>
    <xf numFmtId="0" fontId="0" fillId="5" borderId="7" xfId="0" applyFill="1" applyBorder="1" applyAlignment="1">
      <alignment horizontal="center" vertical="center"/>
    </xf>
    <xf numFmtId="0" fontId="0" fillId="5" borderId="8" xfId="0" applyFill="1" applyBorder="1" applyAlignment="1">
      <alignment horizontal="center" vertical="center"/>
    </xf>
    <xf numFmtId="0" fontId="4" fillId="5" borderId="6" xfId="1" applyFill="1" applyBorder="1" applyAlignment="1">
      <alignment horizontal="center" vertical="center"/>
    </xf>
    <xf numFmtId="0" fontId="4" fillId="5" borderId="7" xfId="1" applyFill="1" applyBorder="1" applyAlignment="1">
      <alignment horizontal="center" vertical="center"/>
    </xf>
    <xf numFmtId="0" fontId="4" fillId="5" borderId="8" xfId="1" applyFill="1" applyBorder="1" applyAlignment="1">
      <alignment horizontal="center" vertical="center"/>
    </xf>
    <xf numFmtId="0" fontId="0" fillId="0" borderId="6"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4" fillId="0" borderId="6" xfId="1" applyBorder="1" applyAlignment="1">
      <alignment horizontal="center" vertical="center"/>
    </xf>
    <xf numFmtId="0" fontId="4" fillId="0" borderId="7" xfId="1" applyBorder="1" applyAlignment="1">
      <alignment horizontal="center" vertical="center"/>
    </xf>
    <xf numFmtId="0" fontId="4" fillId="0" borderId="8" xfId="1" applyBorder="1" applyAlignment="1">
      <alignment horizontal="center" vertical="center"/>
    </xf>
    <xf numFmtId="0" fontId="12" fillId="6" borderId="9" xfId="0" applyFont="1" applyFill="1" applyBorder="1" applyAlignment="1">
      <alignment horizontal="center" vertical="center"/>
    </xf>
    <xf numFmtId="0" fontId="0" fillId="0" borderId="6" xfId="0" applyBorder="1" applyAlignment="1">
      <alignment horizontal="left" vertical="center" wrapText="1"/>
    </xf>
    <xf numFmtId="0" fontId="0" fillId="0" borderId="7" xfId="0" applyBorder="1" applyAlignment="1">
      <alignment horizontal="left" vertical="center" wrapText="1"/>
    </xf>
    <xf numFmtId="0" fontId="0" fillId="0" borderId="8" xfId="0" applyBorder="1" applyAlignment="1">
      <alignment horizontal="left" vertical="center" wrapText="1"/>
    </xf>
    <xf numFmtId="0" fontId="2" fillId="2" borderId="11" xfId="0" applyFont="1" applyFill="1" applyBorder="1" applyAlignment="1">
      <alignment horizontal="center" vertical="center"/>
    </xf>
    <xf numFmtId="0" fontId="2" fillId="2" borderId="10" xfId="0" applyFont="1" applyFill="1" applyBorder="1" applyAlignment="1">
      <alignment horizontal="center" vertical="center"/>
    </xf>
    <xf numFmtId="0" fontId="9" fillId="3" borderId="2" xfId="0" applyFont="1" applyFill="1" applyBorder="1" applyAlignment="1">
      <alignment horizontal="center" vertical="center"/>
    </xf>
    <xf numFmtId="0" fontId="2" fillId="4" borderId="2" xfId="0" applyFont="1" applyFill="1" applyBorder="1" applyAlignment="1">
      <alignment horizontal="center" vertical="center"/>
    </xf>
    <xf numFmtId="0" fontId="4" fillId="0" borderId="2" xfId="1" applyFill="1" applyBorder="1" applyAlignment="1">
      <alignment horizontal="center" vertical="center"/>
    </xf>
    <xf numFmtId="0" fontId="0" fillId="0" borderId="2" xfId="0" applyBorder="1" applyAlignment="1">
      <alignment horizontal="center" vertical="center"/>
    </xf>
    <xf numFmtId="0" fontId="4" fillId="0" borderId="6" xfId="1" applyFill="1"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2" fillId="2" borderId="2" xfId="0" applyFont="1" applyFill="1" applyBorder="1" applyAlignment="1">
      <alignment horizontal="center" vertical="center"/>
    </xf>
    <xf numFmtId="0" fontId="5" fillId="5" borderId="9" xfId="0" applyFont="1" applyFill="1" applyBorder="1" applyAlignment="1">
      <alignment horizontal="center" vertical="center"/>
    </xf>
    <xf numFmtId="0" fontId="0" fillId="5" borderId="9" xfId="0" applyFill="1" applyBorder="1" applyAlignment="1">
      <alignment horizontal="center" vertical="center"/>
    </xf>
    <xf numFmtId="0" fontId="5" fillId="5" borderId="2" xfId="0" applyFont="1" applyFill="1" applyBorder="1" applyAlignment="1">
      <alignment horizontal="center" vertical="center"/>
    </xf>
    <xf numFmtId="0" fontId="2" fillId="2" borderId="6" xfId="0" applyFont="1" applyFill="1" applyBorder="1" applyAlignment="1">
      <alignment horizontal="center" vertical="center"/>
    </xf>
    <xf numFmtId="0" fontId="2" fillId="2" borderId="7" xfId="0" applyFont="1" applyFill="1" applyBorder="1" applyAlignment="1">
      <alignment horizontal="center" vertical="center"/>
    </xf>
    <xf numFmtId="0" fontId="2" fillId="2" borderId="8" xfId="0" applyFont="1" applyFill="1" applyBorder="1" applyAlignment="1">
      <alignment horizontal="center" vertical="center"/>
    </xf>
    <xf numFmtId="0" fontId="4" fillId="0" borderId="2" xfId="1" applyBorder="1" applyAlignment="1">
      <alignment horizontal="center" vertical="center"/>
    </xf>
    <xf numFmtId="0" fontId="4" fillId="5" borderId="3" xfId="1" applyFill="1" applyBorder="1" applyAlignment="1">
      <alignment horizontal="center" vertical="center"/>
    </xf>
    <xf numFmtId="0" fontId="2" fillId="5" borderId="4"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1" xfId="0" applyFont="1" applyFill="1" applyBorder="1" applyAlignment="1">
      <alignment horizontal="center" vertical="center"/>
    </xf>
    <xf numFmtId="0" fontId="2" fillId="5" borderId="0" xfId="0" applyFont="1" applyFill="1" applyAlignment="1">
      <alignment horizontal="center" vertical="center"/>
    </xf>
    <xf numFmtId="0" fontId="2" fillId="5" borderId="12" xfId="0" applyFont="1" applyFill="1" applyBorder="1" applyAlignment="1">
      <alignment horizontal="center" vertical="center"/>
    </xf>
    <xf numFmtId="0" fontId="2" fillId="5" borderId="11" xfId="0" applyFont="1" applyFill="1" applyBorder="1" applyAlignment="1">
      <alignment horizontal="center" vertical="center"/>
    </xf>
    <xf numFmtId="0" fontId="2" fillId="5" borderId="10" xfId="0" applyFont="1" applyFill="1" applyBorder="1" applyAlignment="1">
      <alignment horizontal="center" vertical="center"/>
    </xf>
    <xf numFmtId="0" fontId="2" fillId="5" borderId="13" xfId="0" applyFont="1" applyFill="1" applyBorder="1" applyAlignment="1">
      <alignment horizontal="center" vertical="center"/>
    </xf>
    <xf numFmtId="0" fontId="2" fillId="5" borderId="3" xfId="0" applyFont="1" applyFill="1" applyBorder="1" applyAlignment="1">
      <alignment horizontal="center" vertical="center"/>
    </xf>
    <xf numFmtId="0" fontId="5" fillId="5" borderId="11" xfId="0" applyFont="1" applyFill="1" applyBorder="1" applyAlignment="1">
      <alignment horizontal="center" vertical="center"/>
    </xf>
    <xf numFmtId="0" fontId="5" fillId="5" borderId="10" xfId="0" applyFont="1" applyFill="1" applyBorder="1" applyAlignment="1">
      <alignment horizontal="center" vertical="center"/>
    </xf>
    <xf numFmtId="0" fontId="5" fillId="5" borderId="13" xfId="0" applyFont="1" applyFill="1" applyBorder="1" applyAlignment="1">
      <alignment horizontal="center" vertical="center"/>
    </xf>
    <xf numFmtId="0" fontId="0" fillId="5" borderId="11" xfId="0" applyFill="1" applyBorder="1" applyAlignment="1">
      <alignment horizontal="left" vertical="center" wrapText="1"/>
    </xf>
    <xf numFmtId="0" fontId="0" fillId="5" borderId="10" xfId="0" applyFill="1" applyBorder="1" applyAlignment="1">
      <alignment horizontal="left" vertical="center" wrapText="1"/>
    </xf>
    <xf numFmtId="0" fontId="0" fillId="5" borderId="13" xfId="0" applyFill="1" applyBorder="1" applyAlignment="1">
      <alignment horizontal="left" vertical="center" wrapText="1"/>
    </xf>
    <xf numFmtId="0" fontId="0" fillId="0" borderId="2" xfId="0" applyBorder="1" applyAlignment="1">
      <alignment horizontal="left" vertical="center" wrapText="1"/>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0" fillId="0" borderId="3" xfId="0" applyBorder="1" applyAlignment="1">
      <alignment horizontal="center" vertical="center" wrapText="1"/>
    </xf>
    <xf numFmtId="0" fontId="0" fillId="0" borderId="4" xfId="0" applyBorder="1" applyAlignment="1">
      <alignment horizontal="center" vertical="center"/>
    </xf>
    <xf numFmtId="0" fontId="0" fillId="0" borderId="5" xfId="0" applyBorder="1" applyAlignment="1">
      <alignment horizontal="center" vertical="center"/>
    </xf>
    <xf numFmtId="0" fontId="3" fillId="0" borderId="3" xfId="0" applyFont="1" applyBorder="1" applyAlignment="1">
      <alignment horizontal="center"/>
    </xf>
    <xf numFmtId="0" fontId="3" fillId="0" borderId="4" xfId="0" applyFont="1" applyBorder="1" applyAlignment="1">
      <alignment horizontal="center"/>
    </xf>
    <xf numFmtId="0" fontId="3" fillId="0" borderId="5" xfId="0" applyFont="1" applyBorder="1" applyAlignment="1">
      <alignment horizontal="center"/>
    </xf>
    <xf numFmtId="0" fontId="4" fillId="0" borderId="3" xfId="1" applyBorder="1" applyAlignment="1">
      <alignment horizontal="center" vertical="center"/>
    </xf>
    <xf numFmtId="0" fontId="5" fillId="0" borderId="2" xfId="0" applyFont="1" applyBorder="1" applyAlignment="1">
      <alignment horizontal="center" vertical="center" wrapText="1"/>
    </xf>
    <xf numFmtId="0" fontId="0" fillId="0" borderId="2" xfId="0" applyBorder="1" applyAlignment="1">
      <alignment horizontal="center" vertical="center" wrapText="1"/>
    </xf>
    <xf numFmtId="0" fontId="0" fillId="0" borderId="2" xfId="0" applyBorder="1" applyAlignment="1">
      <alignment horizontal="center"/>
    </xf>
    <xf numFmtId="0" fontId="0" fillId="0" borderId="6" xfId="0" applyBorder="1" applyAlignment="1">
      <alignment horizontal="center" vertical="center" wrapText="1"/>
    </xf>
    <xf numFmtId="0" fontId="0" fillId="5" borderId="2" xfId="0" applyFill="1" applyBorder="1" applyAlignment="1">
      <alignment horizontal="center" vertical="center"/>
    </xf>
    <xf numFmtId="0" fontId="0" fillId="0" borderId="9" xfId="0" applyBorder="1" applyAlignment="1">
      <alignment horizontal="center"/>
    </xf>
    <xf numFmtId="0" fontId="0" fillId="5" borderId="1" xfId="0" applyFill="1" applyBorder="1" applyAlignment="1">
      <alignment horizontal="center" vertical="center"/>
    </xf>
    <xf numFmtId="0" fontId="0" fillId="5" borderId="0" xfId="0" applyFill="1" applyAlignment="1">
      <alignment horizontal="center" vertical="center"/>
    </xf>
    <xf numFmtId="0" fontId="0" fillId="5" borderId="12" xfId="0" applyFill="1" applyBorder="1" applyAlignment="1">
      <alignment horizontal="center" vertical="center"/>
    </xf>
    <xf numFmtId="0" fontId="0" fillId="5" borderId="11" xfId="0" applyFill="1" applyBorder="1" applyAlignment="1">
      <alignment horizontal="center" vertical="center"/>
    </xf>
    <xf numFmtId="0" fontId="0" fillId="5" borderId="10" xfId="0" applyFill="1" applyBorder="1" applyAlignment="1">
      <alignment horizontal="center" vertical="center"/>
    </xf>
    <xf numFmtId="0" fontId="0" fillId="5" borderId="13" xfId="0" applyFill="1" applyBorder="1" applyAlignment="1">
      <alignment horizontal="center" vertical="center"/>
    </xf>
    <xf numFmtId="0" fontId="5" fillId="5" borderId="1" xfId="0" applyFont="1" applyFill="1" applyBorder="1" applyAlignment="1">
      <alignment horizontal="center" vertical="center"/>
    </xf>
    <xf numFmtId="0" fontId="5" fillId="5" borderId="0" xfId="0" applyFont="1" applyFill="1" applyAlignment="1">
      <alignment horizontal="center" vertical="center"/>
    </xf>
    <xf numFmtId="0" fontId="5" fillId="5" borderId="12" xfId="0" applyFont="1" applyFill="1" applyBorder="1" applyAlignment="1">
      <alignment horizontal="center" vertical="center"/>
    </xf>
    <xf numFmtId="0" fontId="5" fillId="0" borderId="2" xfId="0" applyFont="1" applyBorder="1" applyAlignment="1">
      <alignment horizontal="center" vertical="center"/>
    </xf>
    <xf numFmtId="0" fontId="5" fillId="5" borderId="14" xfId="0" applyFont="1" applyFill="1" applyBorder="1" applyAlignment="1">
      <alignment horizontal="center" vertical="center"/>
    </xf>
    <xf numFmtId="0" fontId="0" fillId="5" borderId="1" xfId="0" applyFill="1" applyBorder="1" applyAlignment="1">
      <alignment horizontal="center" vertical="center" wrapText="1"/>
    </xf>
    <xf numFmtId="0" fontId="0" fillId="5" borderId="0" xfId="0" applyFill="1" applyAlignment="1">
      <alignment horizontal="center" vertical="center" wrapText="1"/>
    </xf>
    <xf numFmtId="0" fontId="0" fillId="5" borderId="12" xfId="0" applyFill="1" applyBorder="1" applyAlignment="1">
      <alignment horizontal="center" vertical="center" wrapText="1"/>
    </xf>
    <xf numFmtId="0" fontId="3" fillId="5" borderId="1" xfId="0" applyFont="1" applyFill="1" applyBorder="1" applyAlignment="1">
      <alignment horizontal="center"/>
    </xf>
    <xf numFmtId="0" fontId="3" fillId="5" borderId="0" xfId="0" applyFont="1" applyFill="1" applyAlignment="1">
      <alignment horizontal="center"/>
    </xf>
    <xf numFmtId="0" fontId="3" fillId="5" borderId="12" xfId="0" applyFont="1" applyFill="1" applyBorder="1" applyAlignment="1">
      <alignment horizontal="center"/>
    </xf>
    <xf numFmtId="0" fontId="3" fillId="5" borderId="11" xfId="0" applyFont="1" applyFill="1" applyBorder="1" applyAlignment="1">
      <alignment horizontal="center"/>
    </xf>
    <xf numFmtId="0" fontId="3" fillId="5" borderId="10" xfId="0" applyFont="1" applyFill="1" applyBorder="1" applyAlignment="1">
      <alignment horizontal="center"/>
    </xf>
    <xf numFmtId="0" fontId="3" fillId="5" borderId="13" xfId="0" applyFont="1" applyFill="1" applyBorder="1" applyAlignment="1">
      <alignment horizontal="center"/>
    </xf>
    <xf numFmtId="0" fontId="4" fillId="5" borderId="1" xfId="1" applyFill="1" applyBorder="1" applyAlignment="1">
      <alignment horizontal="center" vertical="center"/>
    </xf>
    <xf numFmtId="0" fontId="0" fillId="0" borderId="15" xfId="0" applyBorder="1" applyAlignment="1">
      <alignment horizontal="center"/>
    </xf>
    <xf numFmtId="0" fontId="0" fillId="5" borderId="11" xfId="0" applyFill="1" applyBorder="1" applyAlignment="1">
      <alignment horizontal="center" vertical="center" wrapText="1"/>
    </xf>
    <xf numFmtId="0" fontId="0" fillId="5" borderId="10" xfId="0" applyFill="1" applyBorder="1" applyAlignment="1">
      <alignment horizontal="center" vertical="center" wrapText="1"/>
    </xf>
    <xf numFmtId="0" fontId="0" fillId="5" borderId="13" xfId="0" applyFill="1" applyBorder="1" applyAlignment="1">
      <alignment horizontal="center" vertical="center" wrapText="1"/>
    </xf>
    <xf numFmtId="0" fontId="3" fillId="5" borderId="9" xfId="0" applyFont="1" applyFill="1" applyBorder="1" applyAlignment="1">
      <alignment horizontal="center"/>
    </xf>
    <xf numFmtId="0" fontId="3" fillId="5" borderId="6" xfId="0" applyFont="1" applyFill="1" applyBorder="1" applyAlignment="1">
      <alignment horizontal="center"/>
    </xf>
    <xf numFmtId="0" fontId="3" fillId="5" borderId="7" xfId="0" applyFont="1" applyFill="1" applyBorder="1" applyAlignment="1">
      <alignment horizontal="center"/>
    </xf>
    <xf numFmtId="0" fontId="3" fillId="5" borderId="8" xfId="0" applyFont="1" applyFill="1" applyBorder="1" applyAlignment="1">
      <alignment horizontal="center"/>
    </xf>
    <xf numFmtId="0" fontId="3" fillId="5" borderId="2" xfId="0" applyFont="1" applyFill="1" applyBorder="1" applyAlignment="1">
      <alignment horizontal="center"/>
    </xf>
    <xf numFmtId="0" fontId="4" fillId="5" borderId="11" xfId="1" applyFill="1" applyBorder="1" applyAlignment="1">
      <alignment horizontal="center" vertical="center"/>
    </xf>
    <xf numFmtId="0" fontId="4" fillId="5" borderId="10" xfId="1" applyFill="1" applyBorder="1" applyAlignment="1">
      <alignment horizontal="center" vertical="center"/>
    </xf>
    <xf numFmtId="0" fontId="4" fillId="5" borderId="13" xfId="1" applyFill="1" applyBorder="1" applyAlignment="1">
      <alignment horizontal="center" vertical="center"/>
    </xf>
    <xf numFmtId="0" fontId="4" fillId="5" borderId="2" xfId="1" applyFill="1" applyBorder="1" applyAlignment="1">
      <alignment horizontal="center" vertical="center"/>
    </xf>
    <xf numFmtId="0" fontId="5" fillId="5" borderId="3" xfId="0" applyFont="1" applyFill="1" applyBorder="1" applyAlignment="1">
      <alignment horizontal="center" vertical="center"/>
    </xf>
    <xf numFmtId="0" fontId="5" fillId="5" borderId="4" xfId="0" applyFont="1" applyFill="1" applyBorder="1" applyAlignment="1">
      <alignment horizontal="center" vertical="center"/>
    </xf>
    <xf numFmtId="0" fontId="5" fillId="5" borderId="5" xfId="0" applyFont="1" applyFill="1" applyBorder="1" applyAlignment="1">
      <alignment horizontal="center" vertical="center"/>
    </xf>
    <xf numFmtId="0" fontId="9" fillId="3" borderId="9" xfId="0" applyFont="1" applyFill="1" applyBorder="1" applyAlignment="1">
      <alignment horizontal="center" vertical="center"/>
    </xf>
    <xf numFmtId="0" fontId="2" fillId="2" borderId="13" xfId="0" applyFont="1" applyFill="1" applyBorder="1" applyAlignment="1">
      <alignment horizontal="center" vertical="center"/>
    </xf>
    <xf numFmtId="0" fontId="4" fillId="5" borderId="0" xfId="1" applyFill="1" applyBorder="1" applyAlignment="1">
      <alignment horizontal="center" vertical="center"/>
    </xf>
    <xf numFmtId="0" fontId="4" fillId="5" borderId="12" xfId="1" applyFill="1" applyBorder="1" applyAlignment="1">
      <alignment horizontal="center" vertical="center"/>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3" fillId="0" borderId="6" xfId="0" applyFont="1" applyBorder="1" applyAlignment="1">
      <alignment horizontal="center"/>
    </xf>
    <xf numFmtId="0" fontId="3" fillId="0" borderId="7" xfId="0" applyFont="1" applyBorder="1" applyAlignment="1">
      <alignment horizontal="center"/>
    </xf>
    <xf numFmtId="0" fontId="3" fillId="0" borderId="8" xfId="0" applyFont="1" applyBorder="1" applyAlignment="1">
      <alignment horizontal="center"/>
    </xf>
    <xf numFmtId="0" fontId="5" fillId="0" borderId="9" xfId="0" applyFont="1" applyBorder="1" applyAlignment="1">
      <alignment horizontal="center" vertical="center"/>
    </xf>
    <xf numFmtId="0" fontId="0" fillId="0" borderId="9" xfId="0" applyBorder="1" applyAlignment="1">
      <alignment horizontal="center" vertical="center" wrapText="1"/>
    </xf>
    <xf numFmtId="0" fontId="0" fillId="0" borderId="9" xfId="0" applyBorder="1" applyAlignment="1">
      <alignment horizontal="center" vertical="center"/>
    </xf>
    <xf numFmtId="0" fontId="4" fillId="0" borderId="9" xfId="1" applyBorder="1" applyAlignment="1">
      <alignment horizontal="center" vertical="center"/>
    </xf>
    <xf numFmtId="0" fontId="5" fillId="5" borderId="1" xfId="0" applyFont="1" applyFill="1" applyBorder="1" applyAlignment="1">
      <alignment horizontal="center" vertical="center" wrapText="1"/>
    </xf>
    <xf numFmtId="0" fontId="5" fillId="5" borderId="0" xfId="0" applyFont="1" applyFill="1" applyAlignment="1">
      <alignment horizontal="center" vertical="center" wrapText="1"/>
    </xf>
    <xf numFmtId="0" fontId="5" fillId="5" borderId="12" xfId="0" applyFont="1" applyFill="1" applyBorder="1" applyAlignment="1">
      <alignment horizontal="center" vertical="center" wrapText="1"/>
    </xf>
    <xf numFmtId="0" fontId="5" fillId="0" borderId="1" xfId="0" applyFont="1" applyBorder="1" applyAlignment="1">
      <alignment horizontal="center" vertical="center"/>
    </xf>
    <xf numFmtId="0" fontId="5" fillId="0" borderId="0" xfId="0" applyFont="1" applyAlignment="1">
      <alignment horizontal="center" vertical="center"/>
    </xf>
    <xf numFmtId="0" fontId="5" fillId="0" borderId="12" xfId="0" applyFont="1" applyBorder="1" applyAlignment="1">
      <alignment horizontal="center" vertical="center"/>
    </xf>
    <xf numFmtId="0" fontId="0" fillId="0" borderId="1" xfId="0" applyBorder="1" applyAlignment="1">
      <alignment horizontal="center" vertical="center" wrapText="1"/>
    </xf>
    <xf numFmtId="0" fontId="0" fillId="0" borderId="0" xfId="0" applyAlignment="1">
      <alignment horizontal="center" vertical="center" wrapText="1"/>
    </xf>
    <xf numFmtId="0" fontId="0" fillId="0" borderId="12" xfId="0" applyBorder="1" applyAlignment="1">
      <alignment horizontal="center" vertical="center" wrapText="1"/>
    </xf>
    <xf numFmtId="0" fontId="3" fillId="0" borderId="1" xfId="0" applyFont="1" applyBorder="1" applyAlignment="1">
      <alignment horizontal="center"/>
    </xf>
    <xf numFmtId="0" fontId="3" fillId="0" borderId="0" xfId="0" applyFont="1" applyAlignment="1">
      <alignment horizontal="center"/>
    </xf>
    <xf numFmtId="0" fontId="3" fillId="0" borderId="12" xfId="0" applyFont="1" applyBorder="1" applyAlignment="1">
      <alignment horizontal="center"/>
    </xf>
    <xf numFmtId="0" fontId="4" fillId="0" borderId="1" xfId="1" applyBorder="1" applyAlignment="1">
      <alignment horizontal="center" vertical="center"/>
    </xf>
    <xf numFmtId="0" fontId="0" fillId="0" borderId="0" xfId="0" applyAlignment="1">
      <alignment horizontal="center" vertical="center"/>
    </xf>
    <xf numFmtId="0" fontId="0" fillId="0" borderId="12" xfId="0" applyBorder="1" applyAlignment="1">
      <alignment horizontal="center" vertical="center"/>
    </xf>
    <xf numFmtId="0" fontId="5" fillId="0" borderId="9" xfId="0" applyFont="1" applyBorder="1" applyAlignment="1">
      <alignment horizontal="center" vertical="center" wrapText="1"/>
    </xf>
    <xf numFmtId="0" fontId="0" fillId="0" borderId="9" xfId="0" applyBorder="1" applyAlignment="1">
      <alignment horizontal="left" vertical="center"/>
    </xf>
    <xf numFmtId="0" fontId="0" fillId="0" borderId="1" xfId="0" applyBorder="1" applyAlignment="1">
      <alignment horizontal="center"/>
    </xf>
    <xf numFmtId="0" fontId="0" fillId="0" borderId="0" xfId="0" applyAlignment="1">
      <alignment horizontal="center"/>
    </xf>
    <xf numFmtId="0" fontId="0" fillId="0" borderId="12" xfId="0" applyBorder="1" applyAlignment="1">
      <alignment horizontal="center"/>
    </xf>
    <xf numFmtId="0" fontId="0" fillId="0" borderId="11" xfId="0" applyBorder="1" applyAlignment="1">
      <alignment horizontal="center"/>
    </xf>
    <xf numFmtId="0" fontId="0" fillId="0" borderId="10" xfId="0" applyBorder="1" applyAlignment="1">
      <alignment horizontal="center"/>
    </xf>
    <xf numFmtId="0" fontId="0" fillId="0" borderId="13" xfId="0" applyBorder="1" applyAlignment="1">
      <alignment horizontal="center"/>
    </xf>
    <xf numFmtId="0" fontId="3" fillId="0" borderId="2" xfId="0" applyFont="1" applyBorder="1" applyAlignment="1">
      <alignment horizontal="center"/>
    </xf>
    <xf numFmtId="0" fontId="2" fillId="4" borderId="15" xfId="0" applyFont="1" applyFill="1" applyBorder="1" applyAlignment="1">
      <alignment horizontal="center" vertical="center"/>
    </xf>
    <xf numFmtId="0" fontId="0" fillId="0" borderId="6" xfId="0" applyBorder="1" applyAlignment="1">
      <alignment horizontal="left" vertical="top" wrapText="1"/>
    </xf>
    <xf numFmtId="0" fontId="0" fillId="0" borderId="7" xfId="0" applyBorder="1" applyAlignment="1">
      <alignment horizontal="left" vertical="top" wrapText="1"/>
    </xf>
    <xf numFmtId="0" fontId="0" fillId="0" borderId="8" xfId="0" applyBorder="1" applyAlignment="1">
      <alignment horizontal="left" vertical="top" wrapText="1"/>
    </xf>
    <xf numFmtId="0" fontId="4" fillId="0" borderId="4" xfId="1" applyBorder="1" applyAlignment="1">
      <alignment horizontal="center" vertical="center"/>
    </xf>
    <xf numFmtId="0" fontId="4" fillId="0" borderId="5" xfId="1" applyBorder="1" applyAlignment="1">
      <alignment horizontal="center" vertical="center"/>
    </xf>
    <xf numFmtId="0" fontId="4" fillId="0" borderId="0" xfId="1" applyBorder="1" applyAlignment="1">
      <alignment horizontal="center" vertical="center"/>
    </xf>
    <xf numFmtId="0" fontId="4" fillId="0" borderId="12" xfId="1" applyBorder="1" applyAlignment="1">
      <alignment horizontal="center" vertical="center"/>
    </xf>
    <xf numFmtId="0" fontId="4" fillId="0" borderId="11" xfId="1" applyBorder="1" applyAlignment="1">
      <alignment horizontal="center" vertical="center"/>
    </xf>
    <xf numFmtId="0" fontId="4" fillId="0" borderId="10" xfId="1" applyBorder="1" applyAlignment="1">
      <alignment horizontal="center" vertical="center"/>
    </xf>
    <xf numFmtId="0" fontId="4" fillId="0" borderId="13" xfId="1" applyBorder="1" applyAlignment="1">
      <alignment horizontal="center" vertical="center"/>
    </xf>
    <xf numFmtId="0" fontId="4" fillId="0" borderId="2" xfId="1" applyFill="1" applyBorder="1" applyAlignment="1">
      <alignment horizontal="center" vertical="center" wrapText="1"/>
    </xf>
    <xf numFmtId="0" fontId="2" fillId="2" borderId="1" xfId="0" applyFont="1" applyFill="1" applyBorder="1" applyAlignment="1">
      <alignment horizontal="center" vertical="center"/>
    </xf>
    <xf numFmtId="0" fontId="2" fillId="2" borderId="0" xfId="0" applyFont="1" applyFill="1" applyAlignment="1">
      <alignment horizontal="center" vertical="center"/>
    </xf>
    <xf numFmtId="0" fontId="2" fillId="2" borderId="12"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7" xfId="0" applyFont="1" applyFill="1" applyBorder="1" applyAlignment="1">
      <alignment horizontal="center" vertical="center"/>
    </xf>
    <xf numFmtId="0" fontId="2" fillId="4" borderId="8" xfId="0" applyFont="1" applyFill="1" applyBorder="1" applyAlignment="1">
      <alignment horizontal="center" vertical="center"/>
    </xf>
    <xf numFmtId="0" fontId="4" fillId="0" borderId="3" xfId="1" applyBorder="1" applyAlignment="1">
      <alignment horizontal="center" vertical="center" wrapText="1"/>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0" fillId="0" borderId="11" xfId="0" applyBorder="1" applyAlignment="1">
      <alignment horizontal="center" vertical="center" wrapText="1"/>
    </xf>
    <xf numFmtId="0" fontId="0" fillId="0" borderId="10" xfId="0" applyBorder="1" applyAlignment="1">
      <alignment horizontal="center" vertical="center" wrapText="1"/>
    </xf>
    <xf numFmtId="0" fontId="0" fillId="0" borderId="13" xfId="0" applyBorder="1" applyAlignment="1">
      <alignment horizontal="center" vertical="center" wrapText="1"/>
    </xf>
    <xf numFmtId="0" fontId="9" fillId="3" borderId="2" xfId="0" applyFont="1" applyFill="1" applyBorder="1" applyAlignment="1">
      <alignment horizontal="center" vertical="center" wrapText="1"/>
    </xf>
    <xf numFmtId="0" fontId="3" fillId="0" borderId="9" xfId="0" applyFont="1" applyBorder="1" applyAlignment="1">
      <alignment horizontal="center"/>
    </xf>
    <xf numFmtId="0" fontId="14" fillId="0" borderId="0" xfId="0" applyFont="1" applyAlignment="1">
      <alignment horizontal="left" vertical="center" wrapText="1"/>
    </xf>
    <xf numFmtId="0" fontId="17" fillId="0" borderId="0" xfId="0" applyFont="1" applyAlignment="1">
      <alignment horizontal="left" vertical="center" wrapText="1"/>
    </xf>
    <xf numFmtId="0" fontId="19" fillId="4" borderId="16" xfId="0" applyFont="1" applyFill="1" applyBorder="1" applyAlignment="1" applyProtection="1">
      <alignment horizontal="center"/>
      <protection hidden="1"/>
    </xf>
    <xf numFmtId="0" fontId="19" fillId="4" borderId="17" xfId="0" applyFont="1" applyFill="1" applyBorder="1" applyAlignment="1" applyProtection="1">
      <alignment horizontal="center"/>
      <protection hidden="1"/>
    </xf>
    <xf numFmtId="0" fontId="19" fillId="4" borderId="18" xfId="0" applyFont="1" applyFill="1" applyBorder="1" applyAlignment="1" applyProtection="1">
      <alignment horizontal="center"/>
      <protection hidden="1"/>
    </xf>
    <xf numFmtId="0" fontId="19" fillId="4" borderId="16" xfId="0" applyFont="1" applyFill="1" applyBorder="1" applyAlignment="1" applyProtection="1">
      <alignment horizontal="center" vertical="center"/>
      <protection hidden="1"/>
    </xf>
    <xf numFmtId="0" fontId="19" fillId="4" borderId="17" xfId="0" applyFont="1" applyFill="1" applyBorder="1" applyAlignment="1" applyProtection="1">
      <alignment horizontal="center" vertical="center"/>
      <protection hidden="1"/>
    </xf>
    <xf numFmtId="0" fontId="19" fillId="4" borderId="18" xfId="0" applyFont="1" applyFill="1" applyBorder="1" applyAlignment="1" applyProtection="1">
      <alignment horizontal="center" vertical="center"/>
      <protection hidden="1"/>
    </xf>
    <xf numFmtId="0" fontId="19" fillId="5" borderId="19" xfId="0" applyFont="1" applyFill="1" applyBorder="1" applyAlignment="1" applyProtection="1">
      <alignment horizontal="center" vertical="center" wrapText="1"/>
      <protection locked="0"/>
    </xf>
    <xf numFmtId="0" fontId="19" fillId="5" borderId="0" xfId="0" applyFont="1" applyFill="1" applyAlignment="1" applyProtection="1">
      <alignment horizontal="center" vertical="center" wrapText="1"/>
      <protection locked="0"/>
    </xf>
    <xf numFmtId="0" fontId="19" fillId="5" borderId="20" xfId="0" applyFont="1" applyFill="1" applyBorder="1" applyAlignment="1" applyProtection="1">
      <alignment horizontal="center" vertical="center" wrapText="1"/>
      <protection locked="0"/>
    </xf>
    <xf numFmtId="0" fontId="26" fillId="0" borderId="16" xfId="0" applyFont="1" applyBorder="1" applyAlignment="1">
      <alignment horizontal="center" vertical="center"/>
    </xf>
    <xf numFmtId="0" fontId="26" fillId="0" borderId="17" xfId="0" applyFont="1" applyBorder="1" applyAlignment="1">
      <alignment horizontal="center" vertical="center"/>
    </xf>
    <xf numFmtId="0" fontId="26" fillId="0" borderId="18" xfId="0" applyFont="1" applyBorder="1" applyAlignment="1">
      <alignment horizontal="center" vertical="center"/>
    </xf>
    <xf numFmtId="0" fontId="21" fillId="14" borderId="30" xfId="0" applyFont="1" applyFill="1" applyBorder="1" applyAlignment="1" applyProtection="1">
      <alignment horizontal="center" vertical="center"/>
      <protection hidden="1"/>
    </xf>
    <xf numFmtId="0" fontId="21" fillId="14" borderId="4" xfId="0" applyFont="1" applyFill="1" applyBorder="1" applyAlignment="1" applyProtection="1">
      <alignment horizontal="center" vertical="center"/>
      <protection hidden="1"/>
    </xf>
    <xf numFmtId="0" fontId="21" fillId="14" borderId="31" xfId="0" applyFont="1" applyFill="1" applyBorder="1" applyAlignment="1" applyProtection="1">
      <alignment horizontal="center" vertical="center"/>
      <protection hidden="1"/>
    </xf>
    <xf numFmtId="0" fontId="19" fillId="5" borderId="21" xfId="0" applyFont="1" applyFill="1" applyBorder="1" applyAlignment="1" applyProtection="1">
      <alignment horizontal="center" vertical="center" wrapText="1"/>
      <protection locked="0" hidden="1"/>
    </xf>
    <xf numFmtId="0" fontId="19" fillId="5" borderId="22" xfId="0" applyFont="1" applyFill="1" applyBorder="1" applyAlignment="1" applyProtection="1">
      <alignment horizontal="center" vertical="center" wrapText="1"/>
      <protection locked="0" hidden="1"/>
    </xf>
    <xf numFmtId="0" fontId="19" fillId="5" borderId="23" xfId="0" applyFont="1" applyFill="1" applyBorder="1" applyAlignment="1" applyProtection="1">
      <alignment horizontal="center" vertical="center" wrapText="1"/>
      <protection locked="0" hidden="1"/>
    </xf>
    <xf numFmtId="0" fontId="20" fillId="12" borderId="30" xfId="0" applyFont="1" applyFill="1" applyBorder="1" applyAlignment="1" applyProtection="1">
      <alignment horizontal="center" vertical="center"/>
      <protection hidden="1"/>
    </xf>
    <xf numFmtId="0" fontId="20" fillId="12" borderId="4" xfId="0" applyFont="1" applyFill="1" applyBorder="1" applyAlignment="1" applyProtection="1">
      <alignment horizontal="center" vertical="center"/>
      <protection hidden="1"/>
    </xf>
    <xf numFmtId="0" fontId="20" fillId="12" borderId="31" xfId="0" applyFont="1" applyFill="1" applyBorder="1" applyAlignment="1" applyProtection="1">
      <alignment horizontal="center" vertical="center"/>
      <protection hidden="1"/>
    </xf>
    <xf numFmtId="0" fontId="21" fillId="9" borderId="27" xfId="0" applyFont="1" applyFill="1" applyBorder="1" applyAlignment="1" applyProtection="1">
      <alignment horizontal="center" vertical="center"/>
      <protection hidden="1"/>
    </xf>
    <xf numFmtId="0" fontId="21" fillId="9" borderId="7" xfId="0" applyFont="1" applyFill="1" applyBorder="1" applyAlignment="1" applyProtection="1">
      <alignment horizontal="center" vertical="center"/>
      <protection hidden="1"/>
    </xf>
    <xf numFmtId="0" fontId="21" fillId="9" borderId="28" xfId="0" applyFont="1" applyFill="1" applyBorder="1" applyAlignment="1" applyProtection="1">
      <alignment horizontal="center" vertical="center"/>
      <protection hidden="1"/>
    </xf>
    <xf numFmtId="0" fontId="25" fillId="0" borderId="16" xfId="0" applyFont="1" applyBorder="1" applyAlignment="1" applyProtection="1">
      <alignment horizontal="center" vertical="center"/>
      <protection hidden="1"/>
    </xf>
    <xf numFmtId="0" fontId="25" fillId="0" borderId="17" xfId="0" applyFont="1" applyBorder="1" applyAlignment="1" applyProtection="1">
      <alignment horizontal="center" vertical="center"/>
      <protection hidden="1"/>
    </xf>
    <xf numFmtId="0" fontId="25" fillId="0" borderId="18" xfId="0" applyFont="1" applyBorder="1" applyAlignment="1" applyProtection="1">
      <alignment horizontal="center" vertical="center"/>
      <protection hidden="1"/>
    </xf>
    <xf numFmtId="0" fontId="19" fillId="4" borderId="16" xfId="0" applyFont="1" applyFill="1" applyBorder="1" applyAlignment="1" applyProtection="1">
      <alignment horizontal="center" vertical="center" wrapText="1"/>
      <protection hidden="1"/>
    </xf>
    <xf numFmtId="0" fontId="19" fillId="4" borderId="17" xfId="0" applyFont="1" applyFill="1" applyBorder="1" applyAlignment="1" applyProtection="1">
      <alignment horizontal="center" vertical="center" wrapText="1"/>
      <protection hidden="1"/>
    </xf>
    <xf numFmtId="0" fontId="19" fillId="4" borderId="18" xfId="0" applyFont="1" applyFill="1" applyBorder="1" applyAlignment="1" applyProtection="1">
      <alignment horizontal="center" vertical="center" wrapText="1"/>
      <protection hidden="1"/>
    </xf>
    <xf numFmtId="0" fontId="19" fillId="5" borderId="16" xfId="0" applyFont="1" applyFill="1" applyBorder="1" applyAlignment="1" applyProtection="1">
      <alignment horizontal="center" vertical="center" wrapText="1"/>
      <protection hidden="1"/>
    </xf>
    <xf numFmtId="0" fontId="19" fillId="5" borderId="17" xfId="0" applyFont="1" applyFill="1" applyBorder="1" applyAlignment="1" applyProtection="1">
      <alignment horizontal="center" vertical="center" wrapText="1"/>
      <protection hidden="1"/>
    </xf>
    <xf numFmtId="0" fontId="19" fillId="5" borderId="18" xfId="0" applyFont="1" applyFill="1" applyBorder="1" applyAlignment="1" applyProtection="1">
      <alignment horizontal="center" vertical="center" wrapText="1"/>
      <protection hidden="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png"/><Relationship Id="rId5" Type="http://schemas.openxmlformats.org/officeDocument/2006/relationships/image" Target="../media/image5.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8" Type="http://schemas.openxmlformats.org/officeDocument/2006/relationships/image" Target="../media/image8.png"/><Relationship Id="rId51" Type="http://schemas.openxmlformats.org/officeDocument/2006/relationships/image" Target="../media/image51.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20" Type="http://schemas.openxmlformats.org/officeDocument/2006/relationships/image" Target="../media/image20.png"/><Relationship Id="rId41" Type="http://schemas.openxmlformats.org/officeDocument/2006/relationships/image" Target="../media/image41.png"/><Relationship Id="rId1" Type="http://schemas.openxmlformats.org/officeDocument/2006/relationships/image" Target="../media/image1.png"/><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s>
</file>

<file path=xl/drawings/drawing1.xml><?xml version="1.0" encoding="utf-8"?>
<xdr:wsDr xmlns:xdr="http://schemas.openxmlformats.org/drawingml/2006/spreadsheetDrawing" xmlns:a="http://schemas.openxmlformats.org/drawingml/2006/main">
  <xdr:twoCellAnchor editAs="oneCell">
    <xdr:from>
      <xdr:col>8</xdr:col>
      <xdr:colOff>67311</xdr:colOff>
      <xdr:row>111</xdr:row>
      <xdr:rowOff>47625</xdr:rowOff>
    </xdr:from>
    <xdr:to>
      <xdr:col>10</xdr:col>
      <xdr:colOff>595314</xdr:colOff>
      <xdr:row>111</xdr:row>
      <xdr:rowOff>869156</xdr:rowOff>
    </xdr:to>
    <xdr:pic>
      <xdr:nvPicPr>
        <xdr:cNvPr id="8" name="Picture 7">
          <a:extLst>
            <a:ext uri="{FF2B5EF4-FFF2-40B4-BE49-F238E27FC236}">
              <a16:creationId xmlns:a16="http://schemas.microsoft.com/office/drawing/2014/main" id="{B730B922-DAE5-119C-F7A2-7D9369D9094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411" t="39982" r="30300" b="41024"/>
        <a:stretch/>
      </xdr:blipFill>
      <xdr:spPr>
        <a:xfrm>
          <a:off x="9830436" y="52792313"/>
          <a:ext cx="1742441" cy="821531"/>
        </a:xfrm>
        <a:prstGeom prst="rect">
          <a:avLst/>
        </a:prstGeom>
      </xdr:spPr>
    </xdr:pic>
    <xdr:clientData/>
  </xdr:twoCellAnchor>
  <xdr:twoCellAnchor editAs="oneCell">
    <xdr:from>
      <xdr:col>8</xdr:col>
      <xdr:colOff>142875</xdr:colOff>
      <xdr:row>103</xdr:row>
      <xdr:rowOff>83343</xdr:rowOff>
    </xdr:from>
    <xdr:to>
      <xdr:col>10</xdr:col>
      <xdr:colOff>345281</xdr:colOff>
      <xdr:row>103</xdr:row>
      <xdr:rowOff>1107280</xdr:rowOff>
    </xdr:to>
    <xdr:pic>
      <xdr:nvPicPr>
        <xdr:cNvPr id="22" name="Picture 21">
          <a:extLst>
            <a:ext uri="{FF2B5EF4-FFF2-40B4-BE49-F238E27FC236}">
              <a16:creationId xmlns:a16="http://schemas.microsoft.com/office/drawing/2014/main" id="{3A3FFB19-0EEB-00D1-3FAF-357E50DCBC2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9272" t="35398" r="30225" b="35330"/>
        <a:stretch/>
      </xdr:blipFill>
      <xdr:spPr>
        <a:xfrm>
          <a:off x="9906000" y="46172437"/>
          <a:ext cx="1416844" cy="1023937"/>
        </a:xfrm>
        <a:prstGeom prst="rect">
          <a:avLst/>
        </a:prstGeom>
      </xdr:spPr>
    </xdr:pic>
    <xdr:clientData/>
  </xdr:twoCellAnchor>
  <xdr:twoCellAnchor editAs="oneCell">
    <xdr:from>
      <xdr:col>8</xdr:col>
      <xdr:colOff>190500</xdr:colOff>
      <xdr:row>104</xdr:row>
      <xdr:rowOff>95250</xdr:rowOff>
    </xdr:from>
    <xdr:to>
      <xdr:col>10</xdr:col>
      <xdr:colOff>369094</xdr:colOff>
      <xdr:row>104</xdr:row>
      <xdr:rowOff>1095375</xdr:rowOff>
    </xdr:to>
    <xdr:pic>
      <xdr:nvPicPr>
        <xdr:cNvPr id="25" name="Picture 24">
          <a:extLst>
            <a:ext uri="{FF2B5EF4-FFF2-40B4-BE49-F238E27FC236}">
              <a16:creationId xmlns:a16="http://schemas.microsoft.com/office/drawing/2014/main" id="{C99D702B-0EC8-5898-AA10-FB745A6ADCDB}"/>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8006" t="33980" r="28305" b="34653"/>
        <a:stretch/>
      </xdr:blipFill>
      <xdr:spPr>
        <a:xfrm>
          <a:off x="9953625" y="47339250"/>
          <a:ext cx="1393032" cy="1000125"/>
        </a:xfrm>
        <a:prstGeom prst="rect">
          <a:avLst/>
        </a:prstGeom>
      </xdr:spPr>
    </xdr:pic>
    <xdr:clientData/>
  </xdr:twoCellAnchor>
  <xdr:twoCellAnchor editAs="oneCell">
    <xdr:from>
      <xdr:col>8</xdr:col>
      <xdr:colOff>226219</xdr:colOff>
      <xdr:row>105</xdr:row>
      <xdr:rowOff>107157</xdr:rowOff>
    </xdr:from>
    <xdr:to>
      <xdr:col>10</xdr:col>
      <xdr:colOff>500062</xdr:colOff>
      <xdr:row>105</xdr:row>
      <xdr:rowOff>1190625</xdr:rowOff>
    </xdr:to>
    <xdr:pic>
      <xdr:nvPicPr>
        <xdr:cNvPr id="30" name="Picture 29">
          <a:extLst>
            <a:ext uri="{FF2B5EF4-FFF2-40B4-BE49-F238E27FC236}">
              <a16:creationId xmlns:a16="http://schemas.microsoft.com/office/drawing/2014/main" id="{C74510FE-2654-FBA1-4734-E0BD5F766321}"/>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8070" t="33333" r="28070" b="34737"/>
        <a:stretch/>
      </xdr:blipFill>
      <xdr:spPr>
        <a:xfrm>
          <a:off x="9989344" y="48517970"/>
          <a:ext cx="1488281" cy="1083468"/>
        </a:xfrm>
        <a:prstGeom prst="rect">
          <a:avLst/>
        </a:prstGeom>
      </xdr:spPr>
    </xdr:pic>
    <xdr:clientData/>
  </xdr:twoCellAnchor>
  <xdr:twoCellAnchor editAs="oneCell">
    <xdr:from>
      <xdr:col>8</xdr:col>
      <xdr:colOff>130967</xdr:colOff>
      <xdr:row>106</xdr:row>
      <xdr:rowOff>11905</xdr:rowOff>
    </xdr:from>
    <xdr:to>
      <xdr:col>10</xdr:col>
      <xdr:colOff>440530</xdr:colOff>
      <xdr:row>106</xdr:row>
      <xdr:rowOff>1035844</xdr:rowOff>
    </xdr:to>
    <xdr:pic>
      <xdr:nvPicPr>
        <xdr:cNvPr id="38" name="Picture 37">
          <a:extLst>
            <a:ext uri="{FF2B5EF4-FFF2-40B4-BE49-F238E27FC236}">
              <a16:creationId xmlns:a16="http://schemas.microsoft.com/office/drawing/2014/main" id="{1180409B-45C0-F75F-0335-D2D9FC31E631}"/>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6133" t="34147" r="29268" b="35888"/>
        <a:stretch/>
      </xdr:blipFill>
      <xdr:spPr>
        <a:xfrm>
          <a:off x="9894092" y="49672874"/>
          <a:ext cx="1524001" cy="1023939"/>
        </a:xfrm>
        <a:prstGeom prst="rect">
          <a:avLst/>
        </a:prstGeom>
      </xdr:spPr>
    </xdr:pic>
    <xdr:clientData/>
  </xdr:twoCellAnchor>
  <xdr:twoCellAnchor editAs="oneCell">
    <xdr:from>
      <xdr:col>8</xdr:col>
      <xdr:colOff>107156</xdr:colOff>
      <xdr:row>112</xdr:row>
      <xdr:rowOff>23811</xdr:rowOff>
    </xdr:from>
    <xdr:to>
      <xdr:col>10</xdr:col>
      <xdr:colOff>523874</xdr:colOff>
      <xdr:row>112</xdr:row>
      <xdr:rowOff>869156</xdr:rowOff>
    </xdr:to>
    <xdr:pic>
      <xdr:nvPicPr>
        <xdr:cNvPr id="40" name="Picture 39">
          <a:extLst>
            <a:ext uri="{FF2B5EF4-FFF2-40B4-BE49-F238E27FC236}">
              <a16:creationId xmlns:a16="http://schemas.microsoft.com/office/drawing/2014/main" id="{D155635C-7EC6-9CF4-DC51-B0847A6615AD}"/>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29682" t="38556" r="28396" b="39718"/>
        <a:stretch/>
      </xdr:blipFill>
      <xdr:spPr>
        <a:xfrm>
          <a:off x="9870281" y="53661467"/>
          <a:ext cx="1631156" cy="845345"/>
        </a:xfrm>
        <a:prstGeom prst="rect">
          <a:avLst/>
        </a:prstGeom>
      </xdr:spPr>
    </xdr:pic>
    <xdr:clientData/>
  </xdr:twoCellAnchor>
  <xdr:twoCellAnchor editAs="oneCell">
    <xdr:from>
      <xdr:col>8</xdr:col>
      <xdr:colOff>154781</xdr:colOff>
      <xdr:row>113</xdr:row>
      <xdr:rowOff>83344</xdr:rowOff>
    </xdr:from>
    <xdr:to>
      <xdr:col>10</xdr:col>
      <xdr:colOff>440531</xdr:colOff>
      <xdr:row>113</xdr:row>
      <xdr:rowOff>857250</xdr:rowOff>
    </xdr:to>
    <xdr:pic>
      <xdr:nvPicPr>
        <xdr:cNvPr id="45" name="Picture 44">
          <a:extLst>
            <a:ext uri="{FF2B5EF4-FFF2-40B4-BE49-F238E27FC236}">
              <a16:creationId xmlns:a16="http://schemas.microsoft.com/office/drawing/2014/main" id="{96E465EA-FABC-FD58-6BDE-E573DD09F838}"/>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28915" t="38336" r="30150" b="40546"/>
        <a:stretch/>
      </xdr:blipFill>
      <xdr:spPr>
        <a:xfrm>
          <a:off x="9917906" y="54613969"/>
          <a:ext cx="1500188" cy="773906"/>
        </a:xfrm>
        <a:prstGeom prst="rect">
          <a:avLst/>
        </a:prstGeom>
      </xdr:spPr>
    </xdr:pic>
    <xdr:clientData/>
  </xdr:twoCellAnchor>
  <xdr:twoCellAnchor editAs="oneCell">
    <xdr:from>
      <xdr:col>8</xdr:col>
      <xdr:colOff>11906</xdr:colOff>
      <xdr:row>114</xdr:row>
      <xdr:rowOff>83344</xdr:rowOff>
    </xdr:from>
    <xdr:to>
      <xdr:col>11</xdr:col>
      <xdr:colOff>47626</xdr:colOff>
      <xdr:row>114</xdr:row>
      <xdr:rowOff>857250</xdr:rowOff>
    </xdr:to>
    <xdr:pic>
      <xdr:nvPicPr>
        <xdr:cNvPr id="47" name="Picture 46">
          <a:extLst>
            <a:ext uri="{FF2B5EF4-FFF2-40B4-BE49-F238E27FC236}">
              <a16:creationId xmlns:a16="http://schemas.microsoft.com/office/drawing/2014/main" id="{FE191459-FAC0-7A1F-4371-54B19BD40BE8}"/>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27369" t="39435" r="26722" b="41436"/>
        <a:stretch/>
      </xdr:blipFill>
      <xdr:spPr>
        <a:xfrm>
          <a:off x="9775031" y="55506938"/>
          <a:ext cx="1857376" cy="773906"/>
        </a:xfrm>
        <a:prstGeom prst="rect">
          <a:avLst/>
        </a:prstGeom>
      </xdr:spPr>
    </xdr:pic>
    <xdr:clientData/>
  </xdr:twoCellAnchor>
  <xdr:twoCellAnchor editAs="oneCell">
    <xdr:from>
      <xdr:col>8</xdr:col>
      <xdr:colOff>107157</xdr:colOff>
      <xdr:row>119</xdr:row>
      <xdr:rowOff>83343</xdr:rowOff>
    </xdr:from>
    <xdr:to>
      <xdr:col>10</xdr:col>
      <xdr:colOff>535781</xdr:colOff>
      <xdr:row>119</xdr:row>
      <xdr:rowOff>797719</xdr:rowOff>
    </xdr:to>
    <xdr:pic>
      <xdr:nvPicPr>
        <xdr:cNvPr id="49" name="Picture 48">
          <a:extLst>
            <a:ext uri="{FF2B5EF4-FFF2-40B4-BE49-F238E27FC236}">
              <a16:creationId xmlns:a16="http://schemas.microsoft.com/office/drawing/2014/main" id="{52FA7ACE-B595-D287-A233-035A9D696AFB}"/>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29243" t="40138" r="31193" b="42661"/>
        <a:stretch/>
      </xdr:blipFill>
      <xdr:spPr>
        <a:xfrm>
          <a:off x="9870282" y="58471593"/>
          <a:ext cx="1643062" cy="714376"/>
        </a:xfrm>
        <a:prstGeom prst="rect">
          <a:avLst/>
        </a:prstGeom>
      </xdr:spPr>
    </xdr:pic>
    <xdr:clientData/>
  </xdr:twoCellAnchor>
  <xdr:twoCellAnchor editAs="oneCell">
    <xdr:from>
      <xdr:col>8</xdr:col>
      <xdr:colOff>59531</xdr:colOff>
      <xdr:row>120</xdr:row>
      <xdr:rowOff>71436</xdr:rowOff>
    </xdr:from>
    <xdr:to>
      <xdr:col>10</xdr:col>
      <xdr:colOff>547688</xdr:colOff>
      <xdr:row>120</xdr:row>
      <xdr:rowOff>821531</xdr:rowOff>
    </xdr:to>
    <xdr:pic>
      <xdr:nvPicPr>
        <xdr:cNvPr id="51" name="Picture 50">
          <a:extLst>
            <a:ext uri="{FF2B5EF4-FFF2-40B4-BE49-F238E27FC236}">
              <a16:creationId xmlns:a16="http://schemas.microsoft.com/office/drawing/2014/main" id="{9A655DB8-B5ED-53DE-5720-392BE0701093}"/>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28464" t="39678" r="30420" b="42208"/>
        <a:stretch/>
      </xdr:blipFill>
      <xdr:spPr>
        <a:xfrm>
          <a:off x="9822656" y="59352655"/>
          <a:ext cx="1702595" cy="750095"/>
        </a:xfrm>
        <a:prstGeom prst="rect">
          <a:avLst/>
        </a:prstGeom>
      </xdr:spPr>
    </xdr:pic>
    <xdr:clientData/>
  </xdr:twoCellAnchor>
  <xdr:twoCellAnchor editAs="oneCell">
    <xdr:from>
      <xdr:col>8</xdr:col>
      <xdr:colOff>59531</xdr:colOff>
      <xdr:row>121</xdr:row>
      <xdr:rowOff>71437</xdr:rowOff>
    </xdr:from>
    <xdr:to>
      <xdr:col>10</xdr:col>
      <xdr:colOff>547687</xdr:colOff>
      <xdr:row>122</xdr:row>
      <xdr:rowOff>0</xdr:rowOff>
    </xdr:to>
    <xdr:pic>
      <xdr:nvPicPr>
        <xdr:cNvPr id="53" name="Picture 52">
          <a:extLst>
            <a:ext uri="{FF2B5EF4-FFF2-40B4-BE49-F238E27FC236}">
              <a16:creationId xmlns:a16="http://schemas.microsoft.com/office/drawing/2014/main" id="{11D9838F-2AA2-1E02-8E51-CF5E883264F9}"/>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26708" t="38509" r="28882" b="40062"/>
        <a:stretch/>
      </xdr:blipFill>
      <xdr:spPr>
        <a:xfrm>
          <a:off x="9822656" y="60245625"/>
          <a:ext cx="1702594" cy="821532"/>
        </a:xfrm>
        <a:prstGeom prst="rect">
          <a:avLst/>
        </a:prstGeom>
      </xdr:spPr>
    </xdr:pic>
    <xdr:clientData/>
  </xdr:twoCellAnchor>
  <xdr:twoCellAnchor editAs="oneCell">
    <xdr:from>
      <xdr:col>8</xdr:col>
      <xdr:colOff>95250</xdr:colOff>
      <xdr:row>122</xdr:row>
      <xdr:rowOff>130969</xdr:rowOff>
    </xdr:from>
    <xdr:to>
      <xdr:col>10</xdr:col>
      <xdr:colOff>523874</xdr:colOff>
      <xdr:row>122</xdr:row>
      <xdr:rowOff>750094</xdr:rowOff>
    </xdr:to>
    <xdr:pic>
      <xdr:nvPicPr>
        <xdr:cNvPr id="55" name="Picture 54">
          <a:extLst>
            <a:ext uri="{FF2B5EF4-FFF2-40B4-BE49-F238E27FC236}">
              <a16:creationId xmlns:a16="http://schemas.microsoft.com/office/drawing/2014/main" id="{7F04F596-A686-FEE6-31B4-28960B1B36F5}"/>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27549" t="40849" r="28752" b="42685"/>
        <a:stretch/>
      </xdr:blipFill>
      <xdr:spPr>
        <a:xfrm>
          <a:off x="9858375" y="61198125"/>
          <a:ext cx="1643062" cy="619125"/>
        </a:xfrm>
        <a:prstGeom prst="rect">
          <a:avLst/>
        </a:prstGeom>
      </xdr:spPr>
    </xdr:pic>
    <xdr:clientData/>
  </xdr:twoCellAnchor>
  <xdr:twoCellAnchor editAs="oneCell">
    <xdr:from>
      <xdr:col>8</xdr:col>
      <xdr:colOff>119062</xdr:colOff>
      <xdr:row>127</xdr:row>
      <xdr:rowOff>47625</xdr:rowOff>
    </xdr:from>
    <xdr:to>
      <xdr:col>10</xdr:col>
      <xdr:colOff>523874</xdr:colOff>
      <xdr:row>127</xdr:row>
      <xdr:rowOff>952500</xdr:rowOff>
    </xdr:to>
    <xdr:pic>
      <xdr:nvPicPr>
        <xdr:cNvPr id="57" name="Picture 56">
          <a:extLst>
            <a:ext uri="{FF2B5EF4-FFF2-40B4-BE49-F238E27FC236}">
              <a16:creationId xmlns:a16="http://schemas.microsoft.com/office/drawing/2014/main" id="{EF9C16BA-6C35-5C52-087E-BEDF55D17817}"/>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29342" t="37852" r="30752" b="39847"/>
        <a:stretch/>
      </xdr:blipFill>
      <xdr:spPr>
        <a:xfrm>
          <a:off x="9882187" y="63781781"/>
          <a:ext cx="1619250" cy="904875"/>
        </a:xfrm>
        <a:prstGeom prst="rect">
          <a:avLst/>
        </a:prstGeom>
      </xdr:spPr>
    </xdr:pic>
    <xdr:clientData/>
  </xdr:twoCellAnchor>
  <xdr:twoCellAnchor editAs="oneCell">
    <xdr:from>
      <xdr:col>8</xdr:col>
      <xdr:colOff>119062</xdr:colOff>
      <xdr:row>128</xdr:row>
      <xdr:rowOff>35719</xdr:rowOff>
    </xdr:from>
    <xdr:to>
      <xdr:col>10</xdr:col>
      <xdr:colOff>476249</xdr:colOff>
      <xdr:row>128</xdr:row>
      <xdr:rowOff>952501</xdr:rowOff>
    </xdr:to>
    <xdr:pic>
      <xdr:nvPicPr>
        <xdr:cNvPr id="59" name="Picture 58">
          <a:extLst>
            <a:ext uri="{FF2B5EF4-FFF2-40B4-BE49-F238E27FC236}">
              <a16:creationId xmlns:a16="http://schemas.microsoft.com/office/drawing/2014/main" id="{197DC074-BCA2-12A5-EB7C-D7855E888B65}"/>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29625" t="37485" r="30472" b="39238"/>
        <a:stretch/>
      </xdr:blipFill>
      <xdr:spPr>
        <a:xfrm>
          <a:off x="9882187" y="64746188"/>
          <a:ext cx="1571625" cy="916782"/>
        </a:xfrm>
        <a:prstGeom prst="rect">
          <a:avLst/>
        </a:prstGeom>
      </xdr:spPr>
    </xdr:pic>
    <xdr:clientData/>
  </xdr:twoCellAnchor>
  <xdr:twoCellAnchor editAs="oneCell">
    <xdr:from>
      <xdr:col>8</xdr:col>
      <xdr:colOff>214311</xdr:colOff>
      <xdr:row>133</xdr:row>
      <xdr:rowOff>47625</xdr:rowOff>
    </xdr:from>
    <xdr:to>
      <xdr:col>10</xdr:col>
      <xdr:colOff>333374</xdr:colOff>
      <xdr:row>133</xdr:row>
      <xdr:rowOff>881063</xdr:rowOff>
    </xdr:to>
    <xdr:pic>
      <xdr:nvPicPr>
        <xdr:cNvPr id="61" name="Picture 60">
          <a:extLst>
            <a:ext uri="{FF2B5EF4-FFF2-40B4-BE49-F238E27FC236}">
              <a16:creationId xmlns:a16="http://schemas.microsoft.com/office/drawing/2014/main" id="{C289F543-6524-DB31-F2F8-BA6034E3741C}"/>
            </a:ext>
          </a:extLst>
        </xdr:cNvPr>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33538" t="39687" r="35159" b="40749"/>
        <a:stretch/>
      </xdr:blipFill>
      <xdr:spPr>
        <a:xfrm>
          <a:off x="9977436" y="67603688"/>
          <a:ext cx="1333501" cy="833438"/>
        </a:xfrm>
        <a:prstGeom prst="rect">
          <a:avLst/>
        </a:prstGeom>
      </xdr:spPr>
    </xdr:pic>
    <xdr:clientData/>
  </xdr:twoCellAnchor>
  <xdr:twoCellAnchor editAs="oneCell">
    <xdr:from>
      <xdr:col>8</xdr:col>
      <xdr:colOff>178593</xdr:colOff>
      <xdr:row>138</xdr:row>
      <xdr:rowOff>83343</xdr:rowOff>
    </xdr:from>
    <xdr:to>
      <xdr:col>10</xdr:col>
      <xdr:colOff>404812</xdr:colOff>
      <xdr:row>138</xdr:row>
      <xdr:rowOff>881062</xdr:rowOff>
    </xdr:to>
    <xdr:pic>
      <xdr:nvPicPr>
        <xdr:cNvPr id="63" name="Picture 62">
          <a:extLst>
            <a:ext uri="{FF2B5EF4-FFF2-40B4-BE49-F238E27FC236}">
              <a16:creationId xmlns:a16="http://schemas.microsoft.com/office/drawing/2014/main" id="{CDDC1E4A-A222-C75A-1EC1-D1592117FC30}"/>
            </a:ext>
          </a:extLst>
        </xdr:cNvPr>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29821" t="39430" r="30086" b="38370"/>
        <a:stretch/>
      </xdr:blipFill>
      <xdr:spPr>
        <a:xfrm>
          <a:off x="9941718" y="70484999"/>
          <a:ext cx="1440657" cy="797719"/>
        </a:xfrm>
        <a:prstGeom prst="rect">
          <a:avLst/>
        </a:prstGeom>
      </xdr:spPr>
    </xdr:pic>
    <xdr:clientData/>
  </xdr:twoCellAnchor>
  <xdr:twoCellAnchor editAs="oneCell">
    <xdr:from>
      <xdr:col>14</xdr:col>
      <xdr:colOff>313234</xdr:colOff>
      <xdr:row>13</xdr:row>
      <xdr:rowOff>23813</xdr:rowOff>
    </xdr:from>
    <xdr:to>
      <xdr:col>16</xdr:col>
      <xdr:colOff>272161</xdr:colOff>
      <xdr:row>15</xdr:row>
      <xdr:rowOff>38100</xdr:rowOff>
    </xdr:to>
    <xdr:pic>
      <xdr:nvPicPr>
        <xdr:cNvPr id="65" name="Picture 64">
          <a:extLst>
            <a:ext uri="{FF2B5EF4-FFF2-40B4-BE49-F238E27FC236}">
              <a16:creationId xmlns:a16="http://schemas.microsoft.com/office/drawing/2014/main" id="{FDE593B3-E6DD-49B7-99E4-AF5E774A51E9}"/>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4267359" y="1881188"/>
          <a:ext cx="1173365" cy="609600"/>
        </a:xfrm>
        <a:prstGeom prst="rect">
          <a:avLst/>
        </a:prstGeom>
      </xdr:spPr>
    </xdr:pic>
    <xdr:clientData/>
  </xdr:twoCellAnchor>
  <xdr:twoCellAnchor editAs="oneCell">
    <xdr:from>
      <xdr:col>14</xdr:col>
      <xdr:colOff>309562</xdr:colOff>
      <xdr:row>20</xdr:row>
      <xdr:rowOff>11906</xdr:rowOff>
    </xdr:from>
    <xdr:to>
      <xdr:col>16</xdr:col>
      <xdr:colOff>268489</xdr:colOff>
      <xdr:row>22</xdr:row>
      <xdr:rowOff>38100</xdr:rowOff>
    </xdr:to>
    <xdr:pic>
      <xdr:nvPicPr>
        <xdr:cNvPr id="68" name="Picture 67">
          <a:extLst>
            <a:ext uri="{FF2B5EF4-FFF2-40B4-BE49-F238E27FC236}">
              <a16:creationId xmlns:a16="http://schemas.microsoft.com/office/drawing/2014/main" id="{1D66CC9F-DFFA-46B8-B747-CFE047FC1198}"/>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4263687" y="3929062"/>
          <a:ext cx="1173365" cy="609600"/>
        </a:xfrm>
        <a:prstGeom prst="rect">
          <a:avLst/>
        </a:prstGeom>
      </xdr:spPr>
    </xdr:pic>
    <xdr:clientData/>
  </xdr:twoCellAnchor>
  <xdr:twoCellAnchor editAs="oneCell">
    <xdr:from>
      <xdr:col>14</xdr:col>
      <xdr:colOff>297656</xdr:colOff>
      <xdr:row>27</xdr:row>
      <xdr:rowOff>59532</xdr:rowOff>
    </xdr:from>
    <xdr:to>
      <xdr:col>16</xdr:col>
      <xdr:colOff>256583</xdr:colOff>
      <xdr:row>29</xdr:row>
      <xdr:rowOff>50007</xdr:rowOff>
    </xdr:to>
    <xdr:pic>
      <xdr:nvPicPr>
        <xdr:cNvPr id="69" name="Picture 68">
          <a:extLst>
            <a:ext uri="{FF2B5EF4-FFF2-40B4-BE49-F238E27FC236}">
              <a16:creationId xmlns:a16="http://schemas.microsoft.com/office/drawing/2014/main" id="{75D71F03-0FB4-49B8-B293-ACB1692E16FF}"/>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4251781" y="6084095"/>
          <a:ext cx="1173365" cy="609600"/>
        </a:xfrm>
        <a:prstGeom prst="rect">
          <a:avLst/>
        </a:prstGeom>
      </xdr:spPr>
    </xdr:pic>
    <xdr:clientData/>
  </xdr:twoCellAnchor>
  <xdr:twoCellAnchor editAs="oneCell">
    <xdr:from>
      <xdr:col>14</xdr:col>
      <xdr:colOff>345281</xdr:colOff>
      <xdr:row>41</xdr:row>
      <xdr:rowOff>309563</xdr:rowOff>
    </xdr:from>
    <xdr:to>
      <xdr:col>16</xdr:col>
      <xdr:colOff>304208</xdr:colOff>
      <xdr:row>42</xdr:row>
      <xdr:rowOff>276225</xdr:rowOff>
    </xdr:to>
    <xdr:pic>
      <xdr:nvPicPr>
        <xdr:cNvPr id="70" name="Picture 69">
          <a:extLst>
            <a:ext uri="{FF2B5EF4-FFF2-40B4-BE49-F238E27FC236}">
              <a16:creationId xmlns:a16="http://schemas.microsoft.com/office/drawing/2014/main" id="{A04DFE71-FCCC-4503-AD6C-697025A7753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4299406" y="9382126"/>
          <a:ext cx="1173365" cy="609600"/>
        </a:xfrm>
        <a:prstGeom prst="rect">
          <a:avLst/>
        </a:prstGeom>
      </xdr:spPr>
    </xdr:pic>
    <xdr:clientData/>
  </xdr:twoCellAnchor>
  <xdr:twoCellAnchor editAs="oneCell">
    <xdr:from>
      <xdr:col>14</xdr:col>
      <xdr:colOff>342901</xdr:colOff>
      <xdr:row>48</xdr:row>
      <xdr:rowOff>485775</xdr:rowOff>
    </xdr:from>
    <xdr:to>
      <xdr:col>16</xdr:col>
      <xdr:colOff>301828</xdr:colOff>
      <xdr:row>49</xdr:row>
      <xdr:rowOff>166688</xdr:rowOff>
    </xdr:to>
    <xdr:pic>
      <xdr:nvPicPr>
        <xdr:cNvPr id="71" name="Picture 70">
          <a:extLst>
            <a:ext uri="{FF2B5EF4-FFF2-40B4-BE49-F238E27FC236}">
              <a16:creationId xmlns:a16="http://schemas.microsoft.com/office/drawing/2014/main" id="{453EC6D0-427E-48A8-B823-DBD4C9DAB67D}"/>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4297026" y="14320838"/>
          <a:ext cx="1173365" cy="609600"/>
        </a:xfrm>
        <a:prstGeom prst="rect">
          <a:avLst/>
        </a:prstGeom>
      </xdr:spPr>
    </xdr:pic>
    <xdr:clientData/>
  </xdr:twoCellAnchor>
  <xdr:twoCellAnchor editAs="oneCell">
    <xdr:from>
      <xdr:col>14</xdr:col>
      <xdr:colOff>333376</xdr:colOff>
      <xdr:row>59</xdr:row>
      <xdr:rowOff>619125</xdr:rowOff>
    </xdr:from>
    <xdr:to>
      <xdr:col>16</xdr:col>
      <xdr:colOff>292303</xdr:colOff>
      <xdr:row>60</xdr:row>
      <xdr:rowOff>300038</xdr:rowOff>
    </xdr:to>
    <xdr:pic>
      <xdr:nvPicPr>
        <xdr:cNvPr id="72" name="Picture 71">
          <a:extLst>
            <a:ext uri="{FF2B5EF4-FFF2-40B4-BE49-F238E27FC236}">
              <a16:creationId xmlns:a16="http://schemas.microsoft.com/office/drawing/2014/main" id="{8512CDEB-8ABD-42EB-8A27-4308D7487863}"/>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4287501" y="23336250"/>
          <a:ext cx="1173365" cy="609600"/>
        </a:xfrm>
        <a:prstGeom prst="rect">
          <a:avLst/>
        </a:prstGeom>
      </xdr:spPr>
    </xdr:pic>
    <xdr:clientData/>
  </xdr:twoCellAnchor>
  <xdr:twoCellAnchor editAs="oneCell">
    <xdr:from>
      <xdr:col>14</xdr:col>
      <xdr:colOff>178594</xdr:colOff>
      <xdr:row>72</xdr:row>
      <xdr:rowOff>131295</xdr:rowOff>
    </xdr:from>
    <xdr:to>
      <xdr:col>16</xdr:col>
      <xdr:colOff>375862</xdr:colOff>
      <xdr:row>72</xdr:row>
      <xdr:rowOff>863578</xdr:rowOff>
    </xdr:to>
    <xdr:pic>
      <xdr:nvPicPr>
        <xdr:cNvPr id="73" name="Picture 72">
          <a:extLst>
            <a:ext uri="{FF2B5EF4-FFF2-40B4-BE49-F238E27FC236}">
              <a16:creationId xmlns:a16="http://schemas.microsoft.com/office/drawing/2014/main" id="{E4C09D16-B436-43A6-AEE1-49D1F6C82F2E}"/>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4165991" y="35882665"/>
          <a:ext cx="1423775" cy="732283"/>
        </a:xfrm>
        <a:prstGeom prst="rect">
          <a:avLst/>
        </a:prstGeom>
      </xdr:spPr>
    </xdr:pic>
    <xdr:clientData/>
  </xdr:twoCellAnchor>
  <xdr:twoCellAnchor editAs="oneCell">
    <xdr:from>
      <xdr:col>14</xdr:col>
      <xdr:colOff>166688</xdr:colOff>
      <xdr:row>75</xdr:row>
      <xdr:rowOff>261937</xdr:rowOff>
    </xdr:from>
    <xdr:to>
      <xdr:col>16</xdr:col>
      <xdr:colOff>363956</xdr:colOff>
      <xdr:row>76</xdr:row>
      <xdr:rowOff>292895</xdr:rowOff>
    </xdr:to>
    <xdr:pic>
      <xdr:nvPicPr>
        <xdr:cNvPr id="74" name="Picture 73">
          <a:extLst>
            <a:ext uri="{FF2B5EF4-FFF2-40B4-BE49-F238E27FC236}">
              <a16:creationId xmlns:a16="http://schemas.microsoft.com/office/drawing/2014/main" id="{B90A574E-05B7-49EF-B475-27B4F4E146A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4120813" y="34742437"/>
          <a:ext cx="1411706" cy="733425"/>
        </a:xfrm>
        <a:prstGeom prst="rect">
          <a:avLst/>
        </a:prstGeom>
      </xdr:spPr>
    </xdr:pic>
    <xdr:clientData/>
  </xdr:twoCellAnchor>
  <xdr:twoCellAnchor editAs="oneCell">
    <xdr:from>
      <xdr:col>14</xdr:col>
      <xdr:colOff>142875</xdr:colOff>
      <xdr:row>81</xdr:row>
      <xdr:rowOff>607219</xdr:rowOff>
    </xdr:from>
    <xdr:to>
      <xdr:col>16</xdr:col>
      <xdr:colOff>340143</xdr:colOff>
      <xdr:row>82</xdr:row>
      <xdr:rowOff>364330</xdr:rowOff>
    </xdr:to>
    <xdr:pic>
      <xdr:nvPicPr>
        <xdr:cNvPr id="75" name="Picture 74">
          <a:extLst>
            <a:ext uri="{FF2B5EF4-FFF2-40B4-BE49-F238E27FC236}">
              <a16:creationId xmlns:a16="http://schemas.microsoft.com/office/drawing/2014/main" id="{66D5C129-83E9-45F2-A4B6-AC7B0B5B888C}"/>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4097000" y="38171438"/>
          <a:ext cx="1411706" cy="733425"/>
        </a:xfrm>
        <a:prstGeom prst="rect">
          <a:avLst/>
        </a:prstGeom>
      </xdr:spPr>
    </xdr:pic>
    <xdr:clientData/>
  </xdr:twoCellAnchor>
  <xdr:twoCellAnchor editAs="oneCell">
    <xdr:from>
      <xdr:col>14</xdr:col>
      <xdr:colOff>154782</xdr:colOff>
      <xdr:row>84</xdr:row>
      <xdr:rowOff>202406</xdr:rowOff>
    </xdr:from>
    <xdr:to>
      <xdr:col>16</xdr:col>
      <xdr:colOff>352050</xdr:colOff>
      <xdr:row>85</xdr:row>
      <xdr:rowOff>102394</xdr:rowOff>
    </xdr:to>
    <xdr:pic>
      <xdr:nvPicPr>
        <xdr:cNvPr id="76" name="Picture 75">
          <a:extLst>
            <a:ext uri="{FF2B5EF4-FFF2-40B4-BE49-F238E27FC236}">
              <a16:creationId xmlns:a16="http://schemas.microsoft.com/office/drawing/2014/main" id="{C0EBC13B-AF94-4A3B-B152-BBB79A716FC9}"/>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4108907" y="40171687"/>
          <a:ext cx="1411706" cy="733425"/>
        </a:xfrm>
        <a:prstGeom prst="rect">
          <a:avLst/>
        </a:prstGeom>
      </xdr:spPr>
    </xdr:pic>
    <xdr:clientData/>
  </xdr:twoCellAnchor>
  <xdr:twoCellAnchor editAs="oneCell">
    <xdr:from>
      <xdr:col>14</xdr:col>
      <xdr:colOff>154781</xdr:colOff>
      <xdr:row>90</xdr:row>
      <xdr:rowOff>314783</xdr:rowOff>
    </xdr:from>
    <xdr:to>
      <xdr:col>16</xdr:col>
      <xdr:colOff>352049</xdr:colOff>
      <xdr:row>90</xdr:row>
      <xdr:rowOff>1048208</xdr:rowOff>
    </xdr:to>
    <xdr:pic>
      <xdr:nvPicPr>
        <xdr:cNvPr id="77" name="Picture 76">
          <a:extLst>
            <a:ext uri="{FF2B5EF4-FFF2-40B4-BE49-F238E27FC236}">
              <a16:creationId xmlns:a16="http://schemas.microsoft.com/office/drawing/2014/main" id="{B1322E90-8B20-4FBC-92AC-492300FC6D63}"/>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4142178" y="46374030"/>
          <a:ext cx="1423775" cy="733425"/>
        </a:xfrm>
        <a:prstGeom prst="rect">
          <a:avLst/>
        </a:prstGeom>
      </xdr:spPr>
    </xdr:pic>
    <xdr:clientData/>
  </xdr:twoCellAnchor>
  <xdr:twoCellAnchor editAs="oneCell">
    <xdr:from>
      <xdr:col>14</xdr:col>
      <xdr:colOff>153639</xdr:colOff>
      <xdr:row>92</xdr:row>
      <xdr:rowOff>371539</xdr:rowOff>
    </xdr:from>
    <xdr:to>
      <xdr:col>16</xdr:col>
      <xdr:colOff>350907</xdr:colOff>
      <xdr:row>92</xdr:row>
      <xdr:rowOff>1104964</xdr:rowOff>
    </xdr:to>
    <xdr:pic>
      <xdr:nvPicPr>
        <xdr:cNvPr id="78" name="Picture 77">
          <a:extLst>
            <a:ext uri="{FF2B5EF4-FFF2-40B4-BE49-F238E27FC236}">
              <a16:creationId xmlns:a16="http://schemas.microsoft.com/office/drawing/2014/main" id="{FD0C7FEA-58E4-4D3A-A95B-1C73EADF9559}"/>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4141036" y="48192258"/>
          <a:ext cx="1423775" cy="733425"/>
        </a:xfrm>
        <a:prstGeom prst="rect">
          <a:avLst/>
        </a:prstGeom>
      </xdr:spPr>
    </xdr:pic>
    <xdr:clientData/>
  </xdr:twoCellAnchor>
  <xdr:twoCellAnchor editAs="oneCell">
    <xdr:from>
      <xdr:col>14</xdr:col>
      <xdr:colOff>178594</xdr:colOff>
      <xdr:row>104</xdr:row>
      <xdr:rowOff>642937</xdr:rowOff>
    </xdr:from>
    <xdr:to>
      <xdr:col>16</xdr:col>
      <xdr:colOff>394195</xdr:colOff>
      <xdr:row>105</xdr:row>
      <xdr:rowOff>219073</xdr:rowOff>
    </xdr:to>
    <xdr:pic>
      <xdr:nvPicPr>
        <xdr:cNvPr id="79" name="Picture 78">
          <a:extLst>
            <a:ext uri="{FF2B5EF4-FFF2-40B4-BE49-F238E27FC236}">
              <a16:creationId xmlns:a16="http://schemas.microsoft.com/office/drawing/2014/main" id="{395EDCFA-E506-458E-82F9-D9AA602D2B0E}"/>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4132719" y="48006000"/>
          <a:ext cx="1430039" cy="742950"/>
        </a:xfrm>
        <a:prstGeom prst="rect">
          <a:avLst/>
        </a:prstGeom>
      </xdr:spPr>
    </xdr:pic>
    <xdr:clientData/>
  </xdr:twoCellAnchor>
  <xdr:twoCellAnchor editAs="oneCell">
    <xdr:from>
      <xdr:col>14</xdr:col>
      <xdr:colOff>250031</xdr:colOff>
      <xdr:row>138</xdr:row>
      <xdr:rowOff>166688</xdr:rowOff>
    </xdr:from>
    <xdr:to>
      <xdr:col>16</xdr:col>
      <xdr:colOff>263960</xdr:colOff>
      <xdr:row>138</xdr:row>
      <xdr:rowOff>804863</xdr:rowOff>
    </xdr:to>
    <xdr:pic>
      <xdr:nvPicPr>
        <xdr:cNvPr id="80" name="Picture 79">
          <a:extLst>
            <a:ext uri="{FF2B5EF4-FFF2-40B4-BE49-F238E27FC236}">
              <a16:creationId xmlns:a16="http://schemas.microsoft.com/office/drawing/2014/main" id="{3852C855-7D49-4DE6-A9FA-6C00AD2FF9F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4204156" y="70687407"/>
          <a:ext cx="1228367" cy="638175"/>
        </a:xfrm>
        <a:prstGeom prst="rect">
          <a:avLst/>
        </a:prstGeom>
      </xdr:spPr>
    </xdr:pic>
    <xdr:clientData/>
  </xdr:twoCellAnchor>
  <xdr:twoCellAnchor editAs="oneCell">
    <xdr:from>
      <xdr:col>14</xdr:col>
      <xdr:colOff>333375</xdr:colOff>
      <xdr:row>112</xdr:row>
      <xdr:rowOff>488156</xdr:rowOff>
    </xdr:from>
    <xdr:to>
      <xdr:col>16</xdr:col>
      <xdr:colOff>297656</xdr:colOff>
      <xdr:row>113</xdr:row>
      <xdr:rowOff>207570</xdr:rowOff>
    </xdr:to>
    <xdr:pic>
      <xdr:nvPicPr>
        <xdr:cNvPr id="83" name="Picture 82">
          <a:extLst>
            <a:ext uri="{FF2B5EF4-FFF2-40B4-BE49-F238E27FC236}">
              <a16:creationId xmlns:a16="http://schemas.microsoft.com/office/drawing/2014/main" id="{4E028277-0A12-4D7B-AC5F-586A53F55062}"/>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4287500" y="54244875"/>
          <a:ext cx="1178719" cy="612381"/>
        </a:xfrm>
        <a:prstGeom prst="rect">
          <a:avLst/>
        </a:prstGeom>
      </xdr:spPr>
    </xdr:pic>
    <xdr:clientData/>
  </xdr:twoCellAnchor>
  <xdr:twoCellAnchor editAs="oneCell">
    <xdr:from>
      <xdr:col>14</xdr:col>
      <xdr:colOff>309562</xdr:colOff>
      <xdr:row>120</xdr:row>
      <xdr:rowOff>488157</xdr:rowOff>
    </xdr:from>
    <xdr:to>
      <xdr:col>16</xdr:col>
      <xdr:colOff>273843</xdr:colOff>
      <xdr:row>121</xdr:row>
      <xdr:rowOff>207570</xdr:rowOff>
    </xdr:to>
    <xdr:pic>
      <xdr:nvPicPr>
        <xdr:cNvPr id="84" name="Picture 83">
          <a:extLst>
            <a:ext uri="{FF2B5EF4-FFF2-40B4-BE49-F238E27FC236}">
              <a16:creationId xmlns:a16="http://schemas.microsoft.com/office/drawing/2014/main" id="{A20C33F2-962C-417B-8AFC-EF85721C1119}"/>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4263687" y="59888438"/>
          <a:ext cx="1178719" cy="612381"/>
        </a:xfrm>
        <a:prstGeom prst="rect">
          <a:avLst/>
        </a:prstGeom>
      </xdr:spPr>
    </xdr:pic>
    <xdr:clientData/>
  </xdr:twoCellAnchor>
  <xdr:twoCellAnchor editAs="oneCell">
    <xdr:from>
      <xdr:col>14</xdr:col>
      <xdr:colOff>154782</xdr:colOff>
      <xdr:row>133</xdr:row>
      <xdr:rowOff>107156</xdr:rowOff>
    </xdr:from>
    <xdr:to>
      <xdr:col>16</xdr:col>
      <xdr:colOff>370383</xdr:colOff>
      <xdr:row>133</xdr:row>
      <xdr:rowOff>850106</xdr:rowOff>
    </xdr:to>
    <xdr:pic>
      <xdr:nvPicPr>
        <xdr:cNvPr id="85" name="Picture 84">
          <a:extLst>
            <a:ext uri="{FF2B5EF4-FFF2-40B4-BE49-F238E27FC236}">
              <a16:creationId xmlns:a16="http://schemas.microsoft.com/office/drawing/2014/main" id="{7883DD2C-379E-4AF7-B465-0692004B176A}"/>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4108907" y="67782281"/>
          <a:ext cx="1430039" cy="742950"/>
        </a:xfrm>
        <a:prstGeom prst="rect">
          <a:avLst/>
        </a:prstGeom>
      </xdr:spPr>
    </xdr:pic>
    <xdr:clientData/>
  </xdr:twoCellAnchor>
  <xdr:twoCellAnchor editAs="oneCell">
    <xdr:from>
      <xdr:col>14</xdr:col>
      <xdr:colOff>345281</xdr:colOff>
      <xdr:row>127</xdr:row>
      <xdr:rowOff>631031</xdr:rowOff>
    </xdr:from>
    <xdr:to>
      <xdr:col>16</xdr:col>
      <xdr:colOff>304208</xdr:colOff>
      <xdr:row>128</xdr:row>
      <xdr:rowOff>264319</xdr:rowOff>
    </xdr:to>
    <xdr:pic>
      <xdr:nvPicPr>
        <xdr:cNvPr id="86" name="Picture 85">
          <a:extLst>
            <a:ext uri="{FF2B5EF4-FFF2-40B4-BE49-F238E27FC236}">
              <a16:creationId xmlns:a16="http://schemas.microsoft.com/office/drawing/2014/main" id="{2ED43B01-A02E-4998-888B-E44E7CD04964}"/>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4299406" y="64484250"/>
          <a:ext cx="1173365" cy="609600"/>
        </a:xfrm>
        <a:prstGeom prst="rect">
          <a:avLst/>
        </a:prstGeom>
      </xdr:spPr>
    </xdr:pic>
    <xdr:clientData/>
  </xdr:twoCellAnchor>
  <xdr:twoCellAnchor editAs="oneCell">
    <xdr:from>
      <xdr:col>8</xdr:col>
      <xdr:colOff>11906</xdr:colOff>
      <xdr:row>55</xdr:row>
      <xdr:rowOff>23813</xdr:rowOff>
    </xdr:from>
    <xdr:to>
      <xdr:col>10</xdr:col>
      <xdr:colOff>595312</xdr:colOff>
      <xdr:row>55</xdr:row>
      <xdr:rowOff>833438</xdr:rowOff>
    </xdr:to>
    <xdr:pic>
      <xdr:nvPicPr>
        <xdr:cNvPr id="88" name="Picture 87">
          <a:extLst>
            <a:ext uri="{FF2B5EF4-FFF2-40B4-BE49-F238E27FC236}">
              <a16:creationId xmlns:a16="http://schemas.microsoft.com/office/drawing/2014/main" id="{FA2DDF25-6CC9-88A0-7497-36EF731D3C58}"/>
            </a:ext>
          </a:extLst>
        </xdr:cNvPr>
        <xdr:cNvPicPr>
          <a:picLocks noChangeAspect="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6898" t="34229" r="17678" b="36309"/>
        <a:stretch/>
      </xdr:blipFill>
      <xdr:spPr>
        <a:xfrm>
          <a:off x="9775031" y="19026188"/>
          <a:ext cx="1797844" cy="809625"/>
        </a:xfrm>
        <a:prstGeom prst="rect">
          <a:avLst/>
        </a:prstGeom>
      </xdr:spPr>
    </xdr:pic>
    <xdr:clientData/>
  </xdr:twoCellAnchor>
  <xdr:twoCellAnchor editAs="oneCell">
    <xdr:from>
      <xdr:col>8</xdr:col>
      <xdr:colOff>59530</xdr:colOff>
      <xdr:row>56</xdr:row>
      <xdr:rowOff>83343</xdr:rowOff>
    </xdr:from>
    <xdr:to>
      <xdr:col>10</xdr:col>
      <xdr:colOff>488155</xdr:colOff>
      <xdr:row>56</xdr:row>
      <xdr:rowOff>869157</xdr:rowOff>
    </xdr:to>
    <xdr:pic>
      <xdr:nvPicPr>
        <xdr:cNvPr id="90" name="Picture 89">
          <a:extLst>
            <a:ext uri="{FF2B5EF4-FFF2-40B4-BE49-F238E27FC236}">
              <a16:creationId xmlns:a16="http://schemas.microsoft.com/office/drawing/2014/main" id="{4A9720DD-A883-9219-A77C-20084B1F9F85}"/>
            </a:ext>
          </a:extLst>
        </xdr:cNvPr>
        <xdr:cNvPicPr>
          <a:picLocks noChangeAspect="1"/>
        </xdr:cNvPicPr>
      </xdr:nvPicPr>
      <xdr:blipFill rotWithShape="1">
        <a:blip xmlns:r="http://schemas.openxmlformats.org/officeDocument/2006/relationships" r:embed="rId23">
          <a:extLst>
            <a:ext uri="{28A0092B-C50C-407E-A947-70E740481C1C}">
              <a14:useLocalDpi xmlns:a14="http://schemas.microsoft.com/office/drawing/2010/main" val="0"/>
            </a:ext>
          </a:extLst>
        </a:blip>
        <a:srcRect l="31635" t="41410" r="32871" b="41615"/>
        <a:stretch/>
      </xdr:blipFill>
      <xdr:spPr>
        <a:xfrm>
          <a:off x="9822655" y="19978687"/>
          <a:ext cx="1643063" cy="785814"/>
        </a:xfrm>
        <a:prstGeom prst="rect">
          <a:avLst/>
        </a:prstGeom>
      </xdr:spPr>
    </xdr:pic>
    <xdr:clientData/>
  </xdr:twoCellAnchor>
  <xdr:twoCellAnchor editAs="oneCell">
    <xdr:from>
      <xdr:col>8</xdr:col>
      <xdr:colOff>107156</xdr:colOff>
      <xdr:row>57</xdr:row>
      <xdr:rowOff>107155</xdr:rowOff>
    </xdr:from>
    <xdr:to>
      <xdr:col>10</xdr:col>
      <xdr:colOff>500062</xdr:colOff>
      <xdr:row>57</xdr:row>
      <xdr:rowOff>892968</xdr:rowOff>
    </xdr:to>
    <xdr:pic>
      <xdr:nvPicPr>
        <xdr:cNvPr id="92" name="Picture 91">
          <a:extLst>
            <a:ext uri="{FF2B5EF4-FFF2-40B4-BE49-F238E27FC236}">
              <a16:creationId xmlns:a16="http://schemas.microsoft.com/office/drawing/2014/main" id="{15FADA99-6201-AC34-D8D6-C51199526FC6}"/>
            </a:ext>
          </a:extLst>
        </xdr:cNvPr>
        <xdr:cNvPicPr>
          <a:picLocks noChangeAspect="1"/>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l="30488" t="39079" r="32096" b="42628"/>
        <a:stretch/>
      </xdr:blipFill>
      <xdr:spPr>
        <a:xfrm>
          <a:off x="9870281" y="20943093"/>
          <a:ext cx="1607344" cy="785813"/>
        </a:xfrm>
        <a:prstGeom prst="rect">
          <a:avLst/>
        </a:prstGeom>
      </xdr:spPr>
    </xdr:pic>
    <xdr:clientData/>
  </xdr:twoCellAnchor>
  <xdr:twoCellAnchor editAs="oneCell">
    <xdr:from>
      <xdr:col>8</xdr:col>
      <xdr:colOff>23812</xdr:colOff>
      <xdr:row>58</xdr:row>
      <xdr:rowOff>190499</xdr:rowOff>
    </xdr:from>
    <xdr:to>
      <xdr:col>10</xdr:col>
      <xdr:colOff>547687</xdr:colOff>
      <xdr:row>58</xdr:row>
      <xdr:rowOff>833437</xdr:rowOff>
    </xdr:to>
    <xdr:pic>
      <xdr:nvPicPr>
        <xdr:cNvPr id="94" name="Picture 93">
          <a:extLst>
            <a:ext uri="{FF2B5EF4-FFF2-40B4-BE49-F238E27FC236}">
              <a16:creationId xmlns:a16="http://schemas.microsoft.com/office/drawing/2014/main" id="{C95E0BF7-E0CB-EA1F-A72F-6AE7EE497A32}"/>
            </a:ext>
          </a:extLst>
        </xdr:cNvPr>
        <xdr:cNvPicPr>
          <a:picLocks noChangeAspect="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l="27561" t="42840" r="28699" b="40983"/>
        <a:stretch/>
      </xdr:blipFill>
      <xdr:spPr>
        <a:xfrm>
          <a:off x="9786937" y="21967030"/>
          <a:ext cx="1738313" cy="642938"/>
        </a:xfrm>
        <a:prstGeom prst="rect">
          <a:avLst/>
        </a:prstGeom>
      </xdr:spPr>
    </xdr:pic>
    <xdr:clientData/>
  </xdr:twoCellAnchor>
  <xdr:twoCellAnchor editAs="oneCell">
    <xdr:from>
      <xdr:col>8</xdr:col>
      <xdr:colOff>23812</xdr:colOff>
      <xdr:row>59</xdr:row>
      <xdr:rowOff>190499</xdr:rowOff>
    </xdr:from>
    <xdr:to>
      <xdr:col>10</xdr:col>
      <xdr:colOff>595312</xdr:colOff>
      <xdr:row>59</xdr:row>
      <xdr:rowOff>762000</xdr:rowOff>
    </xdr:to>
    <xdr:pic>
      <xdr:nvPicPr>
        <xdr:cNvPr id="96" name="Picture 95">
          <a:extLst>
            <a:ext uri="{FF2B5EF4-FFF2-40B4-BE49-F238E27FC236}">
              <a16:creationId xmlns:a16="http://schemas.microsoft.com/office/drawing/2014/main" id="{485BB703-8634-15D4-892E-5692EE623D48}"/>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27717" t="43514" r="30709" b="43182"/>
        <a:stretch/>
      </xdr:blipFill>
      <xdr:spPr>
        <a:xfrm>
          <a:off x="9786937" y="22907624"/>
          <a:ext cx="1785938" cy="571501"/>
        </a:xfrm>
        <a:prstGeom prst="rect">
          <a:avLst/>
        </a:prstGeom>
      </xdr:spPr>
    </xdr:pic>
    <xdr:clientData/>
  </xdr:twoCellAnchor>
  <xdr:twoCellAnchor editAs="oneCell">
    <xdr:from>
      <xdr:col>8</xdr:col>
      <xdr:colOff>130968</xdr:colOff>
      <xdr:row>60</xdr:row>
      <xdr:rowOff>107155</xdr:rowOff>
    </xdr:from>
    <xdr:to>
      <xdr:col>10</xdr:col>
      <xdr:colOff>571500</xdr:colOff>
      <xdr:row>60</xdr:row>
      <xdr:rowOff>821531</xdr:rowOff>
    </xdr:to>
    <xdr:pic>
      <xdr:nvPicPr>
        <xdr:cNvPr id="98" name="Picture 97">
          <a:extLst>
            <a:ext uri="{FF2B5EF4-FFF2-40B4-BE49-F238E27FC236}">
              <a16:creationId xmlns:a16="http://schemas.microsoft.com/office/drawing/2014/main" id="{E4E96BC4-4054-D14F-0B03-EDBB54D3885D}"/>
            </a:ext>
          </a:extLst>
        </xdr:cNvPr>
        <xdr:cNvPicPr>
          <a:picLocks noChangeAspect="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l="31284" t="40993" r="31230" b="42826"/>
        <a:stretch/>
      </xdr:blipFill>
      <xdr:spPr>
        <a:xfrm>
          <a:off x="9894093" y="23752968"/>
          <a:ext cx="1654970" cy="714376"/>
        </a:xfrm>
        <a:prstGeom prst="rect">
          <a:avLst/>
        </a:prstGeom>
      </xdr:spPr>
    </xdr:pic>
    <xdr:clientData/>
  </xdr:twoCellAnchor>
  <xdr:twoCellAnchor editAs="oneCell">
    <xdr:from>
      <xdr:col>8</xdr:col>
      <xdr:colOff>190500</xdr:colOff>
      <xdr:row>61</xdr:row>
      <xdr:rowOff>59532</xdr:rowOff>
    </xdr:from>
    <xdr:to>
      <xdr:col>10</xdr:col>
      <xdr:colOff>464343</xdr:colOff>
      <xdr:row>61</xdr:row>
      <xdr:rowOff>964407</xdr:rowOff>
    </xdr:to>
    <xdr:pic>
      <xdr:nvPicPr>
        <xdr:cNvPr id="100" name="Picture 99">
          <a:extLst>
            <a:ext uri="{FF2B5EF4-FFF2-40B4-BE49-F238E27FC236}">
              <a16:creationId xmlns:a16="http://schemas.microsoft.com/office/drawing/2014/main" id="{8A61FE60-E834-B723-01FC-D4D802A0345E}"/>
            </a:ext>
          </a:extLst>
        </xdr:cNvPr>
        <xdr:cNvPicPr>
          <a:picLocks noChangeAspect="1"/>
        </xdr:cNvPicPr>
      </xdr:nvPicPr>
      <xdr:blipFill rotWithShape="1">
        <a:blip xmlns:r="http://schemas.openxmlformats.org/officeDocument/2006/relationships" r:embed="rId28" cstate="print">
          <a:extLst>
            <a:ext uri="{28A0092B-C50C-407E-A947-70E740481C1C}">
              <a14:useLocalDpi xmlns:a14="http://schemas.microsoft.com/office/drawing/2010/main" val="0"/>
            </a:ext>
          </a:extLst>
        </a:blip>
        <a:srcRect l="31615" t="36219" r="30019" b="40454"/>
        <a:stretch/>
      </xdr:blipFill>
      <xdr:spPr>
        <a:xfrm>
          <a:off x="9953625" y="24586407"/>
          <a:ext cx="1488281" cy="904875"/>
        </a:xfrm>
        <a:prstGeom prst="rect">
          <a:avLst/>
        </a:prstGeom>
      </xdr:spPr>
    </xdr:pic>
    <xdr:clientData/>
  </xdr:twoCellAnchor>
  <xdr:twoCellAnchor editAs="oneCell">
    <xdr:from>
      <xdr:col>8</xdr:col>
      <xdr:colOff>11907</xdr:colOff>
      <xdr:row>62</xdr:row>
      <xdr:rowOff>154782</xdr:rowOff>
    </xdr:from>
    <xdr:to>
      <xdr:col>11</xdr:col>
      <xdr:colOff>11907</xdr:colOff>
      <xdr:row>63</xdr:row>
      <xdr:rowOff>11909</xdr:rowOff>
    </xdr:to>
    <xdr:pic>
      <xdr:nvPicPr>
        <xdr:cNvPr id="102" name="Picture 101">
          <a:extLst>
            <a:ext uri="{FF2B5EF4-FFF2-40B4-BE49-F238E27FC236}">
              <a16:creationId xmlns:a16="http://schemas.microsoft.com/office/drawing/2014/main" id="{BCEA34D0-593A-1353-3EBB-B9B933719FD7}"/>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27983" t="40655" r="31626" b="40866"/>
        <a:stretch/>
      </xdr:blipFill>
      <xdr:spPr>
        <a:xfrm>
          <a:off x="9775032" y="25729407"/>
          <a:ext cx="1821656" cy="833438"/>
        </a:xfrm>
        <a:prstGeom prst="rect">
          <a:avLst/>
        </a:prstGeom>
      </xdr:spPr>
    </xdr:pic>
    <xdr:clientData/>
  </xdr:twoCellAnchor>
  <xdr:twoCellAnchor editAs="oneCell">
    <xdr:from>
      <xdr:col>8</xdr:col>
      <xdr:colOff>95250</xdr:colOff>
      <xdr:row>63</xdr:row>
      <xdr:rowOff>95249</xdr:rowOff>
    </xdr:from>
    <xdr:to>
      <xdr:col>10</xdr:col>
      <xdr:colOff>511970</xdr:colOff>
      <xdr:row>63</xdr:row>
      <xdr:rowOff>881063</xdr:rowOff>
    </xdr:to>
    <xdr:pic>
      <xdr:nvPicPr>
        <xdr:cNvPr id="104" name="Picture 103">
          <a:extLst>
            <a:ext uri="{FF2B5EF4-FFF2-40B4-BE49-F238E27FC236}">
              <a16:creationId xmlns:a16="http://schemas.microsoft.com/office/drawing/2014/main" id="{9E8B38AE-A8E4-D458-2719-7184BF91C499}"/>
            </a:ext>
          </a:extLst>
        </xdr:cNvPr>
        <xdr:cNvPicPr>
          <a:picLocks noChangeAspect="1"/>
        </xdr:cNvPicPr>
      </xdr:nvPicPr>
      <xdr:blipFill rotWithShape="1">
        <a:blip xmlns:r="http://schemas.openxmlformats.org/officeDocument/2006/relationships" r:embed="rId30" cstate="print">
          <a:extLst>
            <a:ext uri="{28A0092B-C50C-407E-A947-70E740481C1C}">
              <a14:useLocalDpi xmlns:a14="http://schemas.microsoft.com/office/drawing/2010/main" val="0"/>
            </a:ext>
          </a:extLst>
        </a:blip>
        <a:srcRect l="30511" t="40132" r="31831" b="41726"/>
        <a:stretch/>
      </xdr:blipFill>
      <xdr:spPr>
        <a:xfrm>
          <a:off x="9858375" y="26646187"/>
          <a:ext cx="1631158" cy="785814"/>
        </a:xfrm>
        <a:prstGeom prst="rect">
          <a:avLst/>
        </a:prstGeom>
      </xdr:spPr>
    </xdr:pic>
    <xdr:clientData/>
  </xdr:twoCellAnchor>
  <xdr:twoCellAnchor editAs="oneCell">
    <xdr:from>
      <xdr:col>8</xdr:col>
      <xdr:colOff>119061</xdr:colOff>
      <xdr:row>64</xdr:row>
      <xdr:rowOff>71437</xdr:rowOff>
    </xdr:from>
    <xdr:to>
      <xdr:col>10</xdr:col>
      <xdr:colOff>523874</xdr:colOff>
      <xdr:row>64</xdr:row>
      <xdr:rowOff>940595</xdr:rowOff>
    </xdr:to>
    <xdr:pic>
      <xdr:nvPicPr>
        <xdr:cNvPr id="106" name="Picture 105">
          <a:extLst>
            <a:ext uri="{FF2B5EF4-FFF2-40B4-BE49-F238E27FC236}">
              <a16:creationId xmlns:a16="http://schemas.microsoft.com/office/drawing/2014/main" id="{DD637012-08D3-4EF3-8FBA-ACAFD6A6D190}"/>
            </a:ext>
          </a:extLst>
        </xdr:cNvPr>
        <xdr:cNvPicPr>
          <a:picLocks noChangeAspect="1"/>
        </xdr:cNvPicPr>
      </xdr:nvPicPr>
      <xdr:blipFill rotWithShape="1">
        <a:blip xmlns:r="http://schemas.openxmlformats.org/officeDocument/2006/relationships" r:embed="rId31" cstate="print">
          <a:extLst>
            <a:ext uri="{28A0092B-C50C-407E-A947-70E740481C1C}">
              <a14:useLocalDpi xmlns:a14="http://schemas.microsoft.com/office/drawing/2010/main" val="0"/>
            </a:ext>
          </a:extLst>
        </a:blip>
        <a:srcRect l="28413" t="39222" r="29586" b="38233"/>
        <a:stretch/>
      </xdr:blipFill>
      <xdr:spPr>
        <a:xfrm>
          <a:off x="9882186" y="27598687"/>
          <a:ext cx="1619251" cy="869158"/>
        </a:xfrm>
        <a:prstGeom prst="rect">
          <a:avLst/>
        </a:prstGeom>
      </xdr:spPr>
    </xdr:pic>
    <xdr:clientData/>
  </xdr:twoCellAnchor>
  <xdr:twoCellAnchor editAs="oneCell">
    <xdr:from>
      <xdr:col>8</xdr:col>
      <xdr:colOff>47626</xdr:colOff>
      <xdr:row>65</xdr:row>
      <xdr:rowOff>130969</xdr:rowOff>
    </xdr:from>
    <xdr:to>
      <xdr:col>11</xdr:col>
      <xdr:colOff>1</xdr:colOff>
      <xdr:row>65</xdr:row>
      <xdr:rowOff>904875</xdr:rowOff>
    </xdr:to>
    <xdr:pic>
      <xdr:nvPicPr>
        <xdr:cNvPr id="108" name="Picture 107">
          <a:extLst>
            <a:ext uri="{FF2B5EF4-FFF2-40B4-BE49-F238E27FC236}">
              <a16:creationId xmlns:a16="http://schemas.microsoft.com/office/drawing/2014/main" id="{E312973D-7B89-4F56-65BA-DD5EA074A463}"/>
            </a:ext>
          </a:extLst>
        </xdr:cNvPr>
        <xdr:cNvPicPr>
          <a:picLocks noChangeAspect="1"/>
        </xdr:cNvPicPr>
      </xdr:nvPicPr>
      <xdr:blipFill rotWithShape="1">
        <a:blip xmlns:r="http://schemas.openxmlformats.org/officeDocument/2006/relationships" r:embed="rId32" cstate="print">
          <a:extLst>
            <a:ext uri="{28A0092B-C50C-407E-A947-70E740481C1C}">
              <a14:useLocalDpi xmlns:a14="http://schemas.microsoft.com/office/drawing/2010/main" val="0"/>
            </a:ext>
          </a:extLst>
        </a:blip>
        <a:srcRect l="27695" t="41096" r="27933" b="39547"/>
        <a:stretch/>
      </xdr:blipFill>
      <xdr:spPr>
        <a:xfrm>
          <a:off x="9810751" y="28634532"/>
          <a:ext cx="1774031" cy="773906"/>
        </a:xfrm>
        <a:prstGeom prst="rect">
          <a:avLst/>
        </a:prstGeom>
      </xdr:spPr>
    </xdr:pic>
    <xdr:clientData/>
  </xdr:twoCellAnchor>
  <xdr:twoCellAnchor editAs="oneCell">
    <xdr:from>
      <xdr:col>8</xdr:col>
      <xdr:colOff>83343</xdr:colOff>
      <xdr:row>66</xdr:row>
      <xdr:rowOff>95250</xdr:rowOff>
    </xdr:from>
    <xdr:to>
      <xdr:col>11</xdr:col>
      <xdr:colOff>35718</xdr:colOff>
      <xdr:row>66</xdr:row>
      <xdr:rowOff>916782</xdr:rowOff>
    </xdr:to>
    <xdr:pic>
      <xdr:nvPicPr>
        <xdr:cNvPr id="110" name="Picture 109">
          <a:extLst>
            <a:ext uri="{FF2B5EF4-FFF2-40B4-BE49-F238E27FC236}">
              <a16:creationId xmlns:a16="http://schemas.microsoft.com/office/drawing/2014/main" id="{48FB6FA1-B6D6-C56F-D172-76CBEB02CF8A}"/>
            </a:ext>
          </a:extLst>
        </xdr:cNvPr>
        <xdr:cNvPicPr>
          <a:picLocks noChangeAspect="1"/>
        </xdr:cNvPicPr>
      </xdr:nvPicPr>
      <xdr:blipFill rotWithShape="1">
        <a:blip xmlns:r="http://schemas.openxmlformats.org/officeDocument/2006/relationships" r:embed="rId33" cstate="print">
          <a:extLst>
            <a:ext uri="{28A0092B-C50C-407E-A947-70E740481C1C}">
              <a14:useLocalDpi xmlns:a14="http://schemas.microsoft.com/office/drawing/2010/main" val="0"/>
            </a:ext>
          </a:extLst>
        </a:blip>
        <a:srcRect l="27657" t="39317" r="31941" b="41974"/>
        <a:stretch/>
      </xdr:blipFill>
      <xdr:spPr>
        <a:xfrm>
          <a:off x="9846468" y="29575125"/>
          <a:ext cx="1774031" cy="821532"/>
        </a:xfrm>
        <a:prstGeom prst="rect">
          <a:avLst/>
        </a:prstGeom>
      </xdr:spPr>
    </xdr:pic>
    <xdr:clientData/>
  </xdr:twoCellAnchor>
  <xdr:twoCellAnchor editAs="oneCell">
    <xdr:from>
      <xdr:col>8</xdr:col>
      <xdr:colOff>142872</xdr:colOff>
      <xdr:row>12</xdr:row>
      <xdr:rowOff>214313</xdr:rowOff>
    </xdr:from>
    <xdr:to>
      <xdr:col>10</xdr:col>
      <xdr:colOff>571497</xdr:colOff>
      <xdr:row>15</xdr:row>
      <xdr:rowOff>0</xdr:rowOff>
    </xdr:to>
    <xdr:pic>
      <xdr:nvPicPr>
        <xdr:cNvPr id="112" name="Picture 111">
          <a:extLst>
            <a:ext uri="{FF2B5EF4-FFF2-40B4-BE49-F238E27FC236}">
              <a16:creationId xmlns:a16="http://schemas.microsoft.com/office/drawing/2014/main" id="{FBC39701-BC81-5F52-FFBC-D2ECE4DCE7FA}"/>
            </a:ext>
          </a:extLst>
        </xdr:cNvPr>
        <xdr:cNvPicPr>
          <a:picLocks noChangeAspect="1"/>
        </xdr:cNvPicPr>
      </xdr:nvPicPr>
      <xdr:blipFill rotWithShape="1">
        <a:blip xmlns:r="http://schemas.openxmlformats.org/officeDocument/2006/relationships" r:embed="rId34">
          <a:extLst>
            <a:ext uri="{28A0092B-C50C-407E-A947-70E740481C1C}">
              <a14:useLocalDpi xmlns:a14="http://schemas.microsoft.com/office/drawing/2010/main" val="0"/>
            </a:ext>
          </a:extLst>
        </a:blip>
        <a:srcRect l="43169" t="33012" r="42611" b="31945"/>
        <a:stretch/>
      </xdr:blipFill>
      <xdr:spPr>
        <a:xfrm rot="3967753">
          <a:off x="10394154" y="1297781"/>
          <a:ext cx="666750" cy="1643063"/>
        </a:xfrm>
        <a:prstGeom prst="rect">
          <a:avLst/>
        </a:prstGeom>
      </xdr:spPr>
    </xdr:pic>
    <xdr:clientData/>
  </xdr:twoCellAnchor>
  <xdr:twoCellAnchor editAs="oneCell">
    <xdr:from>
      <xdr:col>8</xdr:col>
      <xdr:colOff>107157</xdr:colOff>
      <xdr:row>19</xdr:row>
      <xdr:rowOff>214311</xdr:rowOff>
    </xdr:from>
    <xdr:to>
      <xdr:col>10</xdr:col>
      <xdr:colOff>535782</xdr:colOff>
      <xdr:row>21</xdr:row>
      <xdr:rowOff>273843</xdr:rowOff>
    </xdr:to>
    <xdr:pic>
      <xdr:nvPicPr>
        <xdr:cNvPr id="113" name="Picture 112">
          <a:extLst>
            <a:ext uri="{FF2B5EF4-FFF2-40B4-BE49-F238E27FC236}">
              <a16:creationId xmlns:a16="http://schemas.microsoft.com/office/drawing/2014/main" id="{C468A7B7-E890-49A7-B68E-9F4987EBFABE}"/>
            </a:ext>
          </a:extLst>
        </xdr:cNvPr>
        <xdr:cNvPicPr>
          <a:picLocks noChangeAspect="1"/>
        </xdr:cNvPicPr>
      </xdr:nvPicPr>
      <xdr:blipFill rotWithShape="1">
        <a:blip xmlns:r="http://schemas.openxmlformats.org/officeDocument/2006/relationships" r:embed="rId34">
          <a:extLst>
            <a:ext uri="{28A0092B-C50C-407E-A947-70E740481C1C}">
              <a14:useLocalDpi xmlns:a14="http://schemas.microsoft.com/office/drawing/2010/main" val="0"/>
            </a:ext>
          </a:extLst>
        </a:blip>
        <a:srcRect l="43169" t="33012" r="42611" b="31945"/>
        <a:stretch/>
      </xdr:blipFill>
      <xdr:spPr>
        <a:xfrm rot="3967753">
          <a:off x="10358439" y="3333748"/>
          <a:ext cx="666750" cy="1643063"/>
        </a:xfrm>
        <a:prstGeom prst="rect">
          <a:avLst/>
        </a:prstGeom>
      </xdr:spPr>
    </xdr:pic>
    <xdr:clientData/>
  </xdr:twoCellAnchor>
  <xdr:twoCellAnchor editAs="oneCell">
    <xdr:from>
      <xdr:col>8</xdr:col>
      <xdr:colOff>345282</xdr:colOff>
      <xdr:row>39</xdr:row>
      <xdr:rowOff>392906</xdr:rowOff>
    </xdr:from>
    <xdr:to>
      <xdr:col>10</xdr:col>
      <xdr:colOff>119062</xdr:colOff>
      <xdr:row>44</xdr:row>
      <xdr:rowOff>232707</xdr:rowOff>
    </xdr:to>
    <xdr:pic>
      <xdr:nvPicPr>
        <xdr:cNvPr id="115" name="Picture 114">
          <a:extLst>
            <a:ext uri="{FF2B5EF4-FFF2-40B4-BE49-F238E27FC236}">
              <a16:creationId xmlns:a16="http://schemas.microsoft.com/office/drawing/2014/main" id="{D3BB66F8-A6D9-0AD3-A8D3-819BDB827E24}"/>
            </a:ext>
          </a:extLst>
        </xdr:cNvPr>
        <xdr:cNvPicPr>
          <a:picLocks noChangeAspect="1"/>
        </xdr:cNvPicPr>
      </xdr:nvPicPr>
      <xdr:blipFill rotWithShape="1">
        <a:blip xmlns:r="http://schemas.openxmlformats.org/officeDocument/2006/relationships" r:embed="rId35">
          <a:extLst>
            <a:ext uri="{28A0092B-C50C-407E-A947-70E740481C1C}">
              <a14:useLocalDpi xmlns:a14="http://schemas.microsoft.com/office/drawing/2010/main" val="0"/>
            </a:ext>
          </a:extLst>
        </a:blip>
        <a:srcRect l="46722" t="37530" r="44853" b="36428"/>
        <a:stretch/>
      </xdr:blipFill>
      <xdr:spPr>
        <a:xfrm>
          <a:off x="10108407" y="8179594"/>
          <a:ext cx="988218" cy="3054490"/>
        </a:xfrm>
        <a:prstGeom prst="rect">
          <a:avLst/>
        </a:prstGeom>
      </xdr:spPr>
    </xdr:pic>
    <xdr:clientData/>
  </xdr:twoCellAnchor>
  <xdr:twoCellAnchor editAs="oneCell">
    <xdr:from>
      <xdr:col>7</xdr:col>
      <xdr:colOff>3624760</xdr:colOff>
      <xdr:row>27</xdr:row>
      <xdr:rowOff>38162</xdr:rowOff>
    </xdr:from>
    <xdr:to>
      <xdr:col>11</xdr:col>
      <xdr:colOff>160043</xdr:colOff>
      <xdr:row>28</xdr:row>
      <xdr:rowOff>285408</xdr:rowOff>
    </xdr:to>
    <xdr:pic>
      <xdr:nvPicPr>
        <xdr:cNvPr id="117" name="Picture 116">
          <a:extLst>
            <a:ext uri="{FF2B5EF4-FFF2-40B4-BE49-F238E27FC236}">
              <a16:creationId xmlns:a16="http://schemas.microsoft.com/office/drawing/2014/main" id="{812B420E-25A2-6499-D9F1-7CA08A3F84E1}"/>
            </a:ext>
          </a:extLst>
        </xdr:cNvPr>
        <xdr:cNvPicPr>
          <a:picLocks noChangeAspect="1"/>
        </xdr:cNvPicPr>
      </xdr:nvPicPr>
      <xdr:blipFill rotWithShape="1">
        <a:blip xmlns:r="http://schemas.openxmlformats.org/officeDocument/2006/relationships" r:embed="rId36">
          <a:extLst>
            <a:ext uri="{28A0092B-C50C-407E-A947-70E740481C1C}">
              <a14:useLocalDpi xmlns:a14="http://schemas.microsoft.com/office/drawing/2010/main" val="0"/>
            </a:ext>
          </a:extLst>
        </a:blip>
        <a:srcRect l="45649" t="33088" r="45772" b="33977"/>
        <a:stretch/>
      </xdr:blipFill>
      <xdr:spPr>
        <a:xfrm rot="3267974">
          <a:off x="10439330" y="5213886"/>
          <a:ext cx="555407" cy="2166239"/>
        </a:xfrm>
        <a:prstGeom prst="rect">
          <a:avLst/>
        </a:prstGeom>
      </xdr:spPr>
    </xdr:pic>
    <xdr:clientData/>
  </xdr:twoCellAnchor>
  <xdr:twoCellAnchor editAs="oneCell">
    <xdr:from>
      <xdr:col>8</xdr:col>
      <xdr:colOff>416719</xdr:colOff>
      <xdr:row>46</xdr:row>
      <xdr:rowOff>416718</xdr:rowOff>
    </xdr:from>
    <xdr:to>
      <xdr:col>10</xdr:col>
      <xdr:colOff>178592</xdr:colOff>
      <xdr:row>51</xdr:row>
      <xdr:rowOff>355413</xdr:rowOff>
    </xdr:to>
    <xdr:pic>
      <xdr:nvPicPr>
        <xdr:cNvPr id="119" name="Picture 118">
          <a:extLst>
            <a:ext uri="{FF2B5EF4-FFF2-40B4-BE49-F238E27FC236}">
              <a16:creationId xmlns:a16="http://schemas.microsoft.com/office/drawing/2014/main" id="{E290F1CE-603C-8D5B-2D1B-A865B3D6BC0A}"/>
            </a:ext>
          </a:extLst>
        </xdr:cNvPr>
        <xdr:cNvPicPr>
          <a:picLocks noChangeAspect="1"/>
        </xdr:cNvPicPr>
      </xdr:nvPicPr>
      <xdr:blipFill rotWithShape="1">
        <a:blip xmlns:r="http://schemas.openxmlformats.org/officeDocument/2006/relationships" r:embed="rId37">
          <a:extLst>
            <a:ext uri="{28A0092B-C50C-407E-A947-70E740481C1C}">
              <a14:useLocalDpi xmlns:a14="http://schemas.microsoft.com/office/drawing/2010/main" val="0"/>
            </a:ext>
          </a:extLst>
        </a:blip>
        <a:srcRect l="46415" t="33241" r="46385" b="33671"/>
        <a:stretch/>
      </xdr:blipFill>
      <xdr:spPr>
        <a:xfrm>
          <a:off x="10179844" y="16894968"/>
          <a:ext cx="976311" cy="4486882"/>
        </a:xfrm>
        <a:prstGeom prst="rect">
          <a:avLst/>
        </a:prstGeom>
      </xdr:spPr>
    </xdr:pic>
    <xdr:clientData/>
  </xdr:twoCellAnchor>
  <xdr:twoCellAnchor editAs="oneCell">
    <xdr:from>
      <xdr:col>8</xdr:col>
      <xdr:colOff>23811</xdr:colOff>
      <xdr:row>90</xdr:row>
      <xdr:rowOff>23812</xdr:rowOff>
    </xdr:from>
    <xdr:to>
      <xdr:col>10</xdr:col>
      <xdr:colOff>593500</xdr:colOff>
      <xdr:row>90</xdr:row>
      <xdr:rowOff>1369219</xdr:rowOff>
    </xdr:to>
    <xdr:pic>
      <xdr:nvPicPr>
        <xdr:cNvPr id="121" name="Picture 120">
          <a:extLst>
            <a:ext uri="{FF2B5EF4-FFF2-40B4-BE49-F238E27FC236}">
              <a16:creationId xmlns:a16="http://schemas.microsoft.com/office/drawing/2014/main" id="{9289545E-BECF-200B-4AF5-209BAD5694F6}"/>
            </a:ext>
          </a:extLst>
        </xdr:cNvPr>
        <xdr:cNvPicPr>
          <a:picLocks noChangeAspect="1"/>
        </xdr:cNvPicPr>
      </xdr:nvPicPr>
      <xdr:blipFill rotWithShape="1">
        <a:blip xmlns:r="http://schemas.openxmlformats.org/officeDocument/2006/relationships" r:embed="rId38">
          <a:extLst>
            <a:ext uri="{28A0092B-C50C-407E-A947-70E740481C1C}">
              <a14:useLocalDpi xmlns:a14="http://schemas.microsoft.com/office/drawing/2010/main" val="0"/>
            </a:ext>
          </a:extLst>
        </a:blip>
        <a:srcRect l="37377" t="40441" r="34590" b="38419"/>
        <a:stretch/>
      </xdr:blipFill>
      <xdr:spPr>
        <a:xfrm>
          <a:off x="9786936" y="42886312"/>
          <a:ext cx="1784127" cy="1345407"/>
        </a:xfrm>
        <a:prstGeom prst="rect">
          <a:avLst/>
        </a:prstGeom>
      </xdr:spPr>
    </xdr:pic>
    <xdr:clientData/>
  </xdr:twoCellAnchor>
  <xdr:twoCellAnchor editAs="oneCell">
    <xdr:from>
      <xdr:col>7</xdr:col>
      <xdr:colOff>3726657</xdr:colOff>
      <xdr:row>92</xdr:row>
      <xdr:rowOff>23812</xdr:rowOff>
    </xdr:from>
    <xdr:to>
      <xdr:col>11</xdr:col>
      <xdr:colOff>228790</xdr:colOff>
      <xdr:row>92</xdr:row>
      <xdr:rowOff>1440656</xdr:rowOff>
    </xdr:to>
    <xdr:pic>
      <xdr:nvPicPr>
        <xdr:cNvPr id="123" name="Picture 122">
          <a:extLst>
            <a:ext uri="{FF2B5EF4-FFF2-40B4-BE49-F238E27FC236}">
              <a16:creationId xmlns:a16="http://schemas.microsoft.com/office/drawing/2014/main" id="{3D13158A-DA8D-77A3-4E5F-162BFD2F1ED4}"/>
            </a:ext>
          </a:extLst>
        </xdr:cNvPr>
        <xdr:cNvPicPr>
          <a:picLocks noChangeAspect="1"/>
        </xdr:cNvPicPr>
      </xdr:nvPicPr>
      <xdr:blipFill rotWithShape="1">
        <a:blip xmlns:r="http://schemas.openxmlformats.org/officeDocument/2006/relationships" r:embed="rId39">
          <a:extLst>
            <a:ext uri="{28A0092B-C50C-407E-A947-70E740481C1C}">
              <a14:useLocalDpi xmlns:a14="http://schemas.microsoft.com/office/drawing/2010/main" val="0"/>
            </a:ext>
          </a:extLst>
        </a:blip>
        <a:srcRect l="36458" t="40135" r="31832" b="38572"/>
        <a:stretch/>
      </xdr:blipFill>
      <xdr:spPr>
        <a:xfrm rot="537459">
          <a:off x="9703595" y="44648437"/>
          <a:ext cx="2109976" cy="1416844"/>
        </a:xfrm>
        <a:prstGeom prst="rect">
          <a:avLst/>
        </a:prstGeom>
      </xdr:spPr>
    </xdr:pic>
    <xdr:clientData/>
  </xdr:twoCellAnchor>
  <xdr:twoCellAnchor editAs="oneCell">
    <xdr:from>
      <xdr:col>8</xdr:col>
      <xdr:colOff>261937</xdr:colOff>
      <xdr:row>81</xdr:row>
      <xdr:rowOff>23813</xdr:rowOff>
    </xdr:from>
    <xdr:to>
      <xdr:col>10</xdr:col>
      <xdr:colOff>380999</xdr:colOff>
      <xdr:row>82</xdr:row>
      <xdr:rowOff>1805</xdr:rowOff>
    </xdr:to>
    <xdr:pic>
      <xdr:nvPicPr>
        <xdr:cNvPr id="4" name="Picture 3">
          <a:extLst>
            <a:ext uri="{FF2B5EF4-FFF2-40B4-BE49-F238E27FC236}">
              <a16:creationId xmlns:a16="http://schemas.microsoft.com/office/drawing/2014/main" id="{B77BEA91-0C21-4221-856A-5D181815C7CA}"/>
            </a:ext>
          </a:extLst>
        </xdr:cNvPr>
        <xdr:cNvPicPr>
          <a:picLocks noChangeAspect="1"/>
        </xdr:cNvPicPr>
      </xdr:nvPicPr>
      <xdr:blipFill rotWithShape="1">
        <a:blip xmlns:r="http://schemas.openxmlformats.org/officeDocument/2006/relationships" r:embed="rId40" cstate="print">
          <a:extLst>
            <a:ext uri="{28A0092B-C50C-407E-A947-70E740481C1C}">
              <a14:useLocalDpi xmlns:a14="http://schemas.microsoft.com/office/drawing/2010/main" val="0"/>
            </a:ext>
          </a:extLst>
        </a:blip>
        <a:srcRect l="35079" t="39062" r="32598" b="37807"/>
        <a:stretch/>
      </xdr:blipFill>
      <xdr:spPr>
        <a:xfrm>
          <a:off x="10045473" y="41130992"/>
          <a:ext cx="1343705" cy="957706"/>
        </a:xfrm>
        <a:prstGeom prst="rect">
          <a:avLst/>
        </a:prstGeom>
      </xdr:spPr>
    </xdr:pic>
    <xdr:clientData/>
  </xdr:twoCellAnchor>
  <xdr:twoCellAnchor editAs="oneCell">
    <xdr:from>
      <xdr:col>8</xdr:col>
      <xdr:colOff>297656</xdr:colOff>
      <xdr:row>83</xdr:row>
      <xdr:rowOff>392907</xdr:rowOff>
    </xdr:from>
    <xdr:to>
      <xdr:col>10</xdr:col>
      <xdr:colOff>404812</xdr:colOff>
      <xdr:row>85</xdr:row>
      <xdr:rowOff>226</xdr:rowOff>
    </xdr:to>
    <xdr:pic>
      <xdr:nvPicPr>
        <xdr:cNvPr id="6" name="Picture 5">
          <a:extLst>
            <a:ext uri="{FF2B5EF4-FFF2-40B4-BE49-F238E27FC236}">
              <a16:creationId xmlns:a16="http://schemas.microsoft.com/office/drawing/2014/main" id="{9834DED8-6CF7-C250-899F-5D015F5D7A11}"/>
            </a:ext>
          </a:extLst>
        </xdr:cNvPr>
        <xdr:cNvPicPr>
          <a:picLocks noChangeAspect="1"/>
        </xdr:cNvPicPr>
      </xdr:nvPicPr>
      <xdr:blipFill rotWithShape="1">
        <a:blip xmlns:r="http://schemas.openxmlformats.org/officeDocument/2006/relationships" r:embed="rId41" cstate="print">
          <a:extLst>
            <a:ext uri="{28A0092B-C50C-407E-A947-70E740481C1C}">
              <a14:useLocalDpi xmlns:a14="http://schemas.microsoft.com/office/drawing/2010/main" val="0"/>
            </a:ext>
          </a:extLst>
        </a:blip>
        <a:srcRect l="35079" t="40594" r="32598" b="38726"/>
        <a:stretch/>
      </xdr:blipFill>
      <xdr:spPr>
        <a:xfrm>
          <a:off x="10060781" y="39957376"/>
          <a:ext cx="1321594" cy="845569"/>
        </a:xfrm>
        <a:prstGeom prst="rect">
          <a:avLst/>
        </a:prstGeom>
      </xdr:spPr>
    </xdr:pic>
    <xdr:clientData/>
  </xdr:twoCellAnchor>
  <xdr:twoCellAnchor editAs="oneCell">
    <xdr:from>
      <xdr:col>8</xdr:col>
      <xdr:colOff>197643</xdr:colOff>
      <xdr:row>85</xdr:row>
      <xdr:rowOff>51564</xdr:rowOff>
    </xdr:from>
    <xdr:to>
      <xdr:col>10</xdr:col>
      <xdr:colOff>452439</xdr:colOff>
      <xdr:row>85</xdr:row>
      <xdr:rowOff>845745</xdr:rowOff>
    </xdr:to>
    <xdr:pic>
      <xdr:nvPicPr>
        <xdr:cNvPr id="9" name="Picture 8">
          <a:extLst>
            <a:ext uri="{FF2B5EF4-FFF2-40B4-BE49-F238E27FC236}">
              <a16:creationId xmlns:a16="http://schemas.microsoft.com/office/drawing/2014/main" id="{4FCA49C1-F436-BF2F-B80C-D0D5122F1C1C}"/>
            </a:ext>
          </a:extLst>
        </xdr:cNvPr>
        <xdr:cNvPicPr>
          <a:picLocks noChangeAspect="1"/>
        </xdr:cNvPicPr>
      </xdr:nvPicPr>
      <xdr:blipFill rotWithShape="1">
        <a:blip xmlns:r="http://schemas.openxmlformats.org/officeDocument/2006/relationships" r:embed="rId42" cstate="print">
          <a:extLst>
            <a:ext uri="{28A0092B-C50C-407E-A947-70E740481C1C}">
              <a14:useLocalDpi xmlns:a14="http://schemas.microsoft.com/office/drawing/2010/main" val="0"/>
            </a:ext>
          </a:extLst>
        </a:blip>
        <a:srcRect l="33548" t="41360" r="32445" b="40257"/>
        <a:stretch/>
      </xdr:blipFill>
      <xdr:spPr>
        <a:xfrm rot="256942">
          <a:off x="9960768" y="40854283"/>
          <a:ext cx="1469234" cy="794181"/>
        </a:xfrm>
        <a:prstGeom prst="rect">
          <a:avLst/>
        </a:prstGeom>
      </xdr:spPr>
    </xdr:pic>
    <xdr:clientData/>
  </xdr:twoCellAnchor>
  <xdr:twoCellAnchor editAs="oneCell">
    <xdr:from>
      <xdr:col>8</xdr:col>
      <xdr:colOff>171326</xdr:colOff>
      <xdr:row>82</xdr:row>
      <xdr:rowOff>40289</xdr:rowOff>
    </xdr:from>
    <xdr:to>
      <xdr:col>10</xdr:col>
      <xdr:colOff>559228</xdr:colOff>
      <xdr:row>82</xdr:row>
      <xdr:rowOff>957928</xdr:rowOff>
    </xdr:to>
    <xdr:pic>
      <xdr:nvPicPr>
        <xdr:cNvPr id="11" name="Picture 10">
          <a:extLst>
            <a:ext uri="{FF2B5EF4-FFF2-40B4-BE49-F238E27FC236}">
              <a16:creationId xmlns:a16="http://schemas.microsoft.com/office/drawing/2014/main" id="{B23D9A81-47F4-1ED5-1846-2A09E6CDCC7A}"/>
            </a:ext>
          </a:extLst>
        </xdr:cNvPr>
        <xdr:cNvPicPr>
          <a:picLocks noChangeAspect="1"/>
        </xdr:cNvPicPr>
      </xdr:nvPicPr>
      <xdr:blipFill rotWithShape="1">
        <a:blip xmlns:r="http://schemas.openxmlformats.org/officeDocument/2006/relationships" r:embed="rId43">
          <a:extLst>
            <a:ext uri="{28A0092B-C50C-407E-A947-70E740481C1C}">
              <a14:useLocalDpi xmlns:a14="http://schemas.microsoft.com/office/drawing/2010/main" val="0"/>
            </a:ext>
          </a:extLst>
        </a:blip>
        <a:srcRect l="33701" t="40288" r="31526" b="39798"/>
        <a:stretch/>
      </xdr:blipFill>
      <xdr:spPr>
        <a:xfrm rot="301684">
          <a:off x="9934451" y="38580820"/>
          <a:ext cx="1602340" cy="917639"/>
        </a:xfrm>
        <a:prstGeom prst="rect">
          <a:avLst/>
        </a:prstGeom>
      </xdr:spPr>
    </xdr:pic>
    <xdr:clientData/>
  </xdr:twoCellAnchor>
  <xdr:twoCellAnchor editAs="oneCell">
    <xdr:from>
      <xdr:col>8</xdr:col>
      <xdr:colOff>119311</xdr:colOff>
      <xdr:row>75</xdr:row>
      <xdr:rowOff>253421</xdr:rowOff>
    </xdr:from>
    <xdr:to>
      <xdr:col>10</xdr:col>
      <xdr:colOff>571238</xdr:colOff>
      <xdr:row>76</xdr:row>
      <xdr:rowOff>282706</xdr:rowOff>
    </xdr:to>
    <xdr:pic>
      <xdr:nvPicPr>
        <xdr:cNvPr id="13" name="Picture 12">
          <a:extLst>
            <a:ext uri="{FF2B5EF4-FFF2-40B4-BE49-F238E27FC236}">
              <a16:creationId xmlns:a16="http://schemas.microsoft.com/office/drawing/2014/main" id="{744D1AC0-2546-DD2E-5AD5-6D4EAEBA6A77}"/>
            </a:ext>
          </a:extLst>
        </xdr:cNvPr>
        <xdr:cNvPicPr>
          <a:picLocks noChangeAspect="1"/>
        </xdr:cNvPicPr>
      </xdr:nvPicPr>
      <xdr:blipFill rotWithShape="1">
        <a:blip xmlns:r="http://schemas.openxmlformats.org/officeDocument/2006/relationships" r:embed="rId44">
          <a:extLst>
            <a:ext uri="{28A0092B-C50C-407E-A947-70E740481C1C}">
              <a14:useLocalDpi xmlns:a14="http://schemas.microsoft.com/office/drawing/2010/main" val="0"/>
            </a:ext>
          </a:extLst>
        </a:blip>
        <a:srcRect l="33241" t="42586" r="31526" b="41942"/>
        <a:stretch/>
      </xdr:blipFill>
      <xdr:spPr>
        <a:xfrm rot="845876">
          <a:off x="9882436" y="34733921"/>
          <a:ext cx="1666365" cy="731752"/>
        </a:xfrm>
        <a:prstGeom prst="rect">
          <a:avLst/>
        </a:prstGeom>
      </xdr:spPr>
    </xdr:pic>
    <xdr:clientData/>
  </xdr:twoCellAnchor>
  <xdr:twoCellAnchor editAs="oneCell">
    <xdr:from>
      <xdr:col>8</xdr:col>
      <xdr:colOff>130968</xdr:colOff>
      <xdr:row>72</xdr:row>
      <xdr:rowOff>32620</xdr:rowOff>
    </xdr:from>
    <xdr:to>
      <xdr:col>10</xdr:col>
      <xdr:colOff>460253</xdr:colOff>
      <xdr:row>72</xdr:row>
      <xdr:rowOff>900633</xdr:rowOff>
    </xdr:to>
    <xdr:pic>
      <xdr:nvPicPr>
        <xdr:cNvPr id="15" name="Picture 14">
          <a:extLst>
            <a:ext uri="{FF2B5EF4-FFF2-40B4-BE49-F238E27FC236}">
              <a16:creationId xmlns:a16="http://schemas.microsoft.com/office/drawing/2014/main" id="{284A4789-4889-5AA2-4EB0-5806079B97F0}"/>
            </a:ext>
          </a:extLst>
        </xdr:cNvPr>
        <xdr:cNvPicPr>
          <a:picLocks noChangeAspect="1"/>
        </xdr:cNvPicPr>
      </xdr:nvPicPr>
      <xdr:blipFill rotWithShape="1">
        <a:blip xmlns:r="http://schemas.openxmlformats.org/officeDocument/2006/relationships" r:embed="rId45" cstate="print">
          <a:extLst>
            <a:ext uri="{28A0092B-C50C-407E-A947-70E740481C1C}">
              <a14:useLocalDpi xmlns:a14="http://schemas.microsoft.com/office/drawing/2010/main" val="0"/>
            </a:ext>
          </a:extLst>
        </a:blip>
        <a:srcRect l="32475" t="39982" r="31066" b="39491"/>
        <a:stretch/>
      </xdr:blipFill>
      <xdr:spPr>
        <a:xfrm>
          <a:off x="9903879" y="35783990"/>
          <a:ext cx="1555792" cy="868013"/>
        </a:xfrm>
        <a:prstGeom prst="rect">
          <a:avLst/>
        </a:prstGeom>
      </xdr:spPr>
    </xdr:pic>
    <xdr:clientData/>
  </xdr:twoCellAnchor>
  <xdr:twoCellAnchor editAs="oneCell">
    <xdr:from>
      <xdr:col>14</xdr:col>
      <xdr:colOff>321468</xdr:colOff>
      <xdr:row>34</xdr:row>
      <xdr:rowOff>71437</xdr:rowOff>
    </xdr:from>
    <xdr:to>
      <xdr:col>16</xdr:col>
      <xdr:colOff>280395</xdr:colOff>
      <xdr:row>35</xdr:row>
      <xdr:rowOff>323850</xdr:rowOff>
    </xdr:to>
    <xdr:pic>
      <xdr:nvPicPr>
        <xdr:cNvPr id="18" name="Picture 17">
          <a:extLst>
            <a:ext uri="{FF2B5EF4-FFF2-40B4-BE49-F238E27FC236}">
              <a16:creationId xmlns:a16="http://schemas.microsoft.com/office/drawing/2014/main" id="{0E3002F6-9D7B-446A-9E8D-7FF1FE825643}"/>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4275593" y="8465343"/>
          <a:ext cx="1173365" cy="609600"/>
        </a:xfrm>
        <a:prstGeom prst="rect">
          <a:avLst/>
        </a:prstGeom>
      </xdr:spPr>
    </xdr:pic>
    <xdr:clientData/>
  </xdr:twoCellAnchor>
  <xdr:twoCellAnchor editAs="oneCell">
    <xdr:from>
      <xdr:col>7</xdr:col>
      <xdr:colOff>3762375</xdr:colOff>
      <xdr:row>33</xdr:row>
      <xdr:rowOff>119063</xdr:rowOff>
    </xdr:from>
    <xdr:to>
      <xdr:col>11</xdr:col>
      <xdr:colOff>24373</xdr:colOff>
      <xdr:row>36</xdr:row>
      <xdr:rowOff>285751</xdr:rowOff>
    </xdr:to>
    <xdr:pic>
      <xdr:nvPicPr>
        <xdr:cNvPr id="20" name="Picture 19">
          <a:extLst>
            <a:ext uri="{FF2B5EF4-FFF2-40B4-BE49-F238E27FC236}">
              <a16:creationId xmlns:a16="http://schemas.microsoft.com/office/drawing/2014/main" id="{F453BA61-9F82-5C1B-8362-0A04DCE5E682}"/>
            </a:ext>
          </a:extLst>
        </xdr:cNvPr>
        <xdr:cNvPicPr>
          <a:picLocks noChangeAspect="1"/>
        </xdr:cNvPicPr>
      </xdr:nvPicPr>
      <xdr:blipFill rotWithShape="1">
        <a:blip xmlns:r="http://schemas.openxmlformats.org/officeDocument/2006/relationships" r:embed="rId46" cstate="print">
          <a:extLst>
            <a:ext uri="{28A0092B-C50C-407E-A947-70E740481C1C}">
              <a14:useLocalDpi xmlns:a14="http://schemas.microsoft.com/office/drawing/2010/main" val="0"/>
            </a:ext>
          </a:extLst>
        </a:blip>
        <a:srcRect l="34314" t="35743" r="31219" b="33824"/>
        <a:stretch/>
      </xdr:blipFill>
      <xdr:spPr>
        <a:xfrm rot="20937990" flipH="1">
          <a:off x="9739313" y="8155782"/>
          <a:ext cx="1869841" cy="1238250"/>
        </a:xfrm>
        <a:prstGeom prst="rect">
          <a:avLst/>
        </a:prstGeom>
      </xdr:spPr>
    </xdr:pic>
    <xdr:clientData/>
  </xdr:twoCellAnchor>
  <xdr:twoCellAnchor editAs="oneCell">
    <xdr:from>
      <xdr:col>14</xdr:col>
      <xdr:colOff>169623</xdr:colOff>
      <xdr:row>144</xdr:row>
      <xdr:rowOff>104384</xdr:rowOff>
    </xdr:from>
    <xdr:to>
      <xdr:col>16</xdr:col>
      <xdr:colOff>366891</xdr:colOff>
      <xdr:row>144</xdr:row>
      <xdr:rowOff>837809</xdr:rowOff>
    </xdr:to>
    <xdr:pic>
      <xdr:nvPicPr>
        <xdr:cNvPr id="5" name="Picture 4">
          <a:extLst>
            <a:ext uri="{FF2B5EF4-FFF2-40B4-BE49-F238E27FC236}">
              <a16:creationId xmlns:a16="http://schemas.microsoft.com/office/drawing/2014/main" id="{4C411D72-4EAD-41FC-82C4-BCEB461AF4EB}"/>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4157020" y="79396747"/>
          <a:ext cx="1423775" cy="733425"/>
        </a:xfrm>
        <a:prstGeom prst="rect">
          <a:avLst/>
        </a:prstGeom>
      </xdr:spPr>
    </xdr:pic>
    <xdr:clientData/>
  </xdr:twoCellAnchor>
  <xdr:twoCellAnchor editAs="oneCell">
    <xdr:from>
      <xdr:col>8</xdr:col>
      <xdr:colOff>1</xdr:colOff>
      <xdr:row>143</xdr:row>
      <xdr:rowOff>333218</xdr:rowOff>
    </xdr:from>
    <xdr:to>
      <xdr:col>10</xdr:col>
      <xdr:colOff>548014</xdr:colOff>
      <xdr:row>143</xdr:row>
      <xdr:rowOff>1482072</xdr:rowOff>
    </xdr:to>
    <xdr:pic>
      <xdr:nvPicPr>
        <xdr:cNvPr id="14" name="Picture 13">
          <a:extLst>
            <a:ext uri="{FF2B5EF4-FFF2-40B4-BE49-F238E27FC236}">
              <a16:creationId xmlns:a16="http://schemas.microsoft.com/office/drawing/2014/main" id="{50DF8B34-F5F6-B645-55CC-F3B480DE03A1}"/>
            </a:ext>
          </a:extLst>
        </xdr:cNvPr>
        <xdr:cNvPicPr>
          <a:picLocks noChangeAspect="1"/>
        </xdr:cNvPicPr>
      </xdr:nvPicPr>
      <xdr:blipFill rotWithShape="1">
        <a:blip xmlns:r="http://schemas.openxmlformats.org/officeDocument/2006/relationships" r:embed="rId47" cstate="print">
          <a:extLst>
            <a:ext uri="{28A0092B-C50C-407E-A947-70E740481C1C}">
              <a14:useLocalDpi xmlns:a14="http://schemas.microsoft.com/office/drawing/2010/main" val="0"/>
            </a:ext>
          </a:extLst>
        </a:blip>
        <a:srcRect l="18802" t="35254" r="25967" b="28989"/>
        <a:stretch/>
      </xdr:blipFill>
      <xdr:spPr>
        <a:xfrm rot="371986">
          <a:off x="9772912" y="78412122"/>
          <a:ext cx="1774520" cy="1148854"/>
        </a:xfrm>
        <a:prstGeom prst="rect">
          <a:avLst/>
        </a:prstGeom>
      </xdr:spPr>
    </xdr:pic>
    <xdr:clientData/>
  </xdr:twoCellAnchor>
  <xdr:twoCellAnchor editAs="oneCell">
    <xdr:from>
      <xdr:col>7</xdr:col>
      <xdr:colOff>3731711</xdr:colOff>
      <xdr:row>144</xdr:row>
      <xdr:rowOff>313151</xdr:rowOff>
    </xdr:from>
    <xdr:to>
      <xdr:col>11</xdr:col>
      <xdr:colOff>13048</xdr:colOff>
      <xdr:row>144</xdr:row>
      <xdr:rowOff>1491306</xdr:rowOff>
    </xdr:to>
    <xdr:pic>
      <xdr:nvPicPr>
        <xdr:cNvPr id="17" name="Picture 16">
          <a:extLst>
            <a:ext uri="{FF2B5EF4-FFF2-40B4-BE49-F238E27FC236}">
              <a16:creationId xmlns:a16="http://schemas.microsoft.com/office/drawing/2014/main" id="{5BCD805F-BCF8-DC6C-A9CF-2B3E2F88C5D8}"/>
            </a:ext>
          </a:extLst>
        </xdr:cNvPr>
        <xdr:cNvPicPr>
          <a:picLocks noChangeAspect="1"/>
        </xdr:cNvPicPr>
      </xdr:nvPicPr>
      <xdr:blipFill rotWithShape="1">
        <a:blip xmlns:r="http://schemas.openxmlformats.org/officeDocument/2006/relationships" r:embed="rId48" cstate="print">
          <a:extLst>
            <a:ext uri="{28A0092B-C50C-407E-A947-70E740481C1C}">
              <a14:useLocalDpi xmlns:a14="http://schemas.microsoft.com/office/drawing/2010/main" val="0"/>
            </a:ext>
          </a:extLst>
        </a:blip>
        <a:srcRect l="12087" t="31729" r="20596" b="26638"/>
        <a:stretch/>
      </xdr:blipFill>
      <xdr:spPr>
        <a:xfrm>
          <a:off x="9720718" y="80049144"/>
          <a:ext cx="1905001" cy="1178155"/>
        </a:xfrm>
        <a:prstGeom prst="rect">
          <a:avLst/>
        </a:prstGeom>
      </xdr:spPr>
    </xdr:pic>
    <xdr:clientData/>
  </xdr:twoCellAnchor>
  <xdr:twoCellAnchor editAs="oneCell">
    <xdr:from>
      <xdr:col>8</xdr:col>
      <xdr:colOff>2</xdr:colOff>
      <xdr:row>145</xdr:row>
      <xdr:rowOff>352294</xdr:rowOff>
    </xdr:from>
    <xdr:to>
      <xdr:col>11</xdr:col>
      <xdr:colOff>4895</xdr:colOff>
      <xdr:row>145</xdr:row>
      <xdr:rowOff>1487465</xdr:rowOff>
    </xdr:to>
    <xdr:pic>
      <xdr:nvPicPr>
        <xdr:cNvPr id="21" name="Picture 20">
          <a:extLst>
            <a:ext uri="{FF2B5EF4-FFF2-40B4-BE49-F238E27FC236}">
              <a16:creationId xmlns:a16="http://schemas.microsoft.com/office/drawing/2014/main" id="{AAA74ED7-7580-229B-6C63-3583DFD59D7C}"/>
            </a:ext>
          </a:extLst>
        </xdr:cNvPr>
        <xdr:cNvPicPr>
          <a:picLocks noChangeAspect="1"/>
        </xdr:cNvPicPr>
      </xdr:nvPicPr>
      <xdr:blipFill rotWithShape="1">
        <a:blip xmlns:r="http://schemas.openxmlformats.org/officeDocument/2006/relationships" r:embed="rId49" cstate="print">
          <a:extLst>
            <a:ext uri="{28A0092B-C50C-407E-A947-70E740481C1C}">
              <a14:useLocalDpi xmlns:a14="http://schemas.microsoft.com/office/drawing/2010/main" val="0"/>
            </a:ext>
          </a:extLst>
        </a:blip>
        <a:srcRect l="21489" t="36597" r="26134" b="31171"/>
        <a:stretch/>
      </xdr:blipFill>
      <xdr:spPr>
        <a:xfrm>
          <a:off x="9772913" y="81771472"/>
          <a:ext cx="1844653" cy="1135171"/>
        </a:xfrm>
        <a:prstGeom prst="rect">
          <a:avLst/>
        </a:prstGeom>
      </xdr:spPr>
    </xdr:pic>
    <xdr:clientData/>
  </xdr:twoCellAnchor>
  <xdr:twoCellAnchor editAs="oneCell">
    <xdr:from>
      <xdr:col>14</xdr:col>
      <xdr:colOff>108858</xdr:colOff>
      <xdr:row>97</xdr:row>
      <xdr:rowOff>585107</xdr:rowOff>
    </xdr:from>
    <xdr:to>
      <xdr:col>16</xdr:col>
      <xdr:colOff>502615</xdr:colOff>
      <xdr:row>97</xdr:row>
      <xdr:rowOff>775606</xdr:rowOff>
    </xdr:to>
    <xdr:pic>
      <xdr:nvPicPr>
        <xdr:cNvPr id="10" name="Picture 9">
          <a:extLst>
            <a:ext uri="{FF2B5EF4-FFF2-40B4-BE49-F238E27FC236}">
              <a16:creationId xmlns:a16="http://schemas.microsoft.com/office/drawing/2014/main" id="{2711909C-E3DF-4E5F-5390-CF0B789FF70A}"/>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4110608" y="52686857"/>
          <a:ext cx="1618400" cy="190499"/>
        </a:xfrm>
        <a:prstGeom prst="rect">
          <a:avLst/>
        </a:prstGeom>
      </xdr:spPr>
    </xdr:pic>
    <xdr:clientData/>
  </xdr:twoCellAnchor>
  <xdr:twoCellAnchor editAs="oneCell">
    <xdr:from>
      <xdr:col>14</xdr:col>
      <xdr:colOff>108858</xdr:colOff>
      <xdr:row>98</xdr:row>
      <xdr:rowOff>625929</xdr:rowOff>
    </xdr:from>
    <xdr:to>
      <xdr:col>16</xdr:col>
      <xdr:colOff>502615</xdr:colOff>
      <xdr:row>98</xdr:row>
      <xdr:rowOff>816428</xdr:rowOff>
    </xdr:to>
    <xdr:pic>
      <xdr:nvPicPr>
        <xdr:cNvPr id="12" name="Picture 11">
          <a:extLst>
            <a:ext uri="{FF2B5EF4-FFF2-40B4-BE49-F238E27FC236}">
              <a16:creationId xmlns:a16="http://schemas.microsoft.com/office/drawing/2014/main" id="{7247F089-C5BD-49F1-9AE0-D6DE402E04A8}"/>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4110608" y="54047572"/>
          <a:ext cx="1618400" cy="190499"/>
        </a:xfrm>
        <a:prstGeom prst="rect">
          <a:avLst/>
        </a:prstGeom>
      </xdr:spPr>
    </xdr:pic>
    <xdr:clientData/>
  </xdr:twoCellAnchor>
  <xdr:twoCellAnchor editAs="oneCell">
    <xdr:from>
      <xdr:col>14</xdr:col>
      <xdr:colOff>111580</xdr:colOff>
      <xdr:row>99</xdr:row>
      <xdr:rowOff>574222</xdr:rowOff>
    </xdr:from>
    <xdr:to>
      <xdr:col>16</xdr:col>
      <xdr:colOff>505337</xdr:colOff>
      <xdr:row>99</xdr:row>
      <xdr:rowOff>764721</xdr:rowOff>
    </xdr:to>
    <xdr:pic>
      <xdr:nvPicPr>
        <xdr:cNvPr id="16" name="Picture 15">
          <a:extLst>
            <a:ext uri="{FF2B5EF4-FFF2-40B4-BE49-F238E27FC236}">
              <a16:creationId xmlns:a16="http://schemas.microsoft.com/office/drawing/2014/main" id="{5C712100-52EA-49DE-B392-A9B460390894}"/>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4113330" y="55315758"/>
          <a:ext cx="1618400" cy="190499"/>
        </a:xfrm>
        <a:prstGeom prst="rect">
          <a:avLst/>
        </a:prstGeom>
      </xdr:spPr>
    </xdr:pic>
    <xdr:clientData/>
  </xdr:twoCellAnchor>
  <xdr:twoCellAnchor editAs="oneCell">
    <xdr:from>
      <xdr:col>8</xdr:col>
      <xdr:colOff>40821</xdr:colOff>
      <xdr:row>97</xdr:row>
      <xdr:rowOff>68035</xdr:rowOff>
    </xdr:from>
    <xdr:to>
      <xdr:col>10</xdr:col>
      <xdr:colOff>585106</xdr:colOff>
      <xdr:row>97</xdr:row>
      <xdr:rowOff>1247025</xdr:rowOff>
    </xdr:to>
    <xdr:pic>
      <xdr:nvPicPr>
        <xdr:cNvPr id="34" name="Picture 33">
          <a:extLst>
            <a:ext uri="{FF2B5EF4-FFF2-40B4-BE49-F238E27FC236}">
              <a16:creationId xmlns:a16="http://schemas.microsoft.com/office/drawing/2014/main" id="{99A58831-1379-ADA1-062D-8B77E85154C0}"/>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9824357" y="52169785"/>
          <a:ext cx="1768928" cy="1178990"/>
        </a:xfrm>
        <a:prstGeom prst="rect">
          <a:avLst/>
        </a:prstGeom>
      </xdr:spPr>
    </xdr:pic>
    <xdr:clientData/>
  </xdr:twoCellAnchor>
  <xdr:twoCellAnchor editAs="oneCell">
    <xdr:from>
      <xdr:col>8</xdr:col>
      <xdr:colOff>81644</xdr:colOff>
      <xdr:row>98</xdr:row>
      <xdr:rowOff>108857</xdr:rowOff>
    </xdr:from>
    <xdr:to>
      <xdr:col>10</xdr:col>
      <xdr:colOff>544287</xdr:colOff>
      <xdr:row>98</xdr:row>
      <xdr:rowOff>1233433</xdr:rowOff>
    </xdr:to>
    <xdr:pic>
      <xdr:nvPicPr>
        <xdr:cNvPr id="36" name="Picture 35">
          <a:extLst>
            <a:ext uri="{FF2B5EF4-FFF2-40B4-BE49-F238E27FC236}">
              <a16:creationId xmlns:a16="http://schemas.microsoft.com/office/drawing/2014/main" id="{B5A5905D-13A5-69CF-713E-879349BD79DC}"/>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9865180" y="53530500"/>
          <a:ext cx="1687286" cy="1124576"/>
        </a:xfrm>
        <a:prstGeom prst="rect">
          <a:avLst/>
        </a:prstGeom>
      </xdr:spPr>
    </xdr:pic>
    <xdr:clientData/>
  </xdr:twoCellAnchor>
  <xdr:twoCellAnchor editAs="oneCell">
    <xdr:from>
      <xdr:col>8</xdr:col>
      <xdr:colOff>81644</xdr:colOff>
      <xdr:row>99</xdr:row>
      <xdr:rowOff>108857</xdr:rowOff>
    </xdr:from>
    <xdr:to>
      <xdr:col>10</xdr:col>
      <xdr:colOff>551513</xdr:colOff>
      <xdr:row>99</xdr:row>
      <xdr:rowOff>1238249</xdr:rowOff>
    </xdr:to>
    <xdr:pic>
      <xdr:nvPicPr>
        <xdr:cNvPr id="39" name="Picture 38">
          <a:extLst>
            <a:ext uri="{FF2B5EF4-FFF2-40B4-BE49-F238E27FC236}">
              <a16:creationId xmlns:a16="http://schemas.microsoft.com/office/drawing/2014/main" id="{8BE13981-77E1-19D2-033B-BAEFE0F9C7C0}"/>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9865180" y="54850393"/>
          <a:ext cx="1694512" cy="1129392"/>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hyperlink" Target="https://dellinas.eu/3d-models/c2020-dummy/" TargetMode="External"/><Relationship Id="rId21" Type="http://schemas.openxmlformats.org/officeDocument/2006/relationships/hyperlink" Target="https://dellinas.eu/3d-models/3slot-free-return/" TargetMode="External"/><Relationship Id="rId42" Type="http://schemas.openxmlformats.org/officeDocument/2006/relationships/hyperlink" Target="https://dellinas.eu/3d-models/linear-grille-c8-5-supply/" TargetMode="External"/><Relationship Id="rId47" Type="http://schemas.openxmlformats.org/officeDocument/2006/relationships/hyperlink" Target="https://dellinas.eu/3d-models/pak700-1slot/" TargetMode="External"/><Relationship Id="rId63" Type="http://schemas.openxmlformats.org/officeDocument/2006/relationships/hyperlink" Target="https://camouflage.cy/" TargetMode="External"/><Relationship Id="rId68" Type="http://schemas.openxmlformats.org/officeDocument/2006/relationships/hyperlink" Target="https://www.proairkit.com/pak700/pak700-reverse-3-slot-20mm-opening/" TargetMode="External"/><Relationship Id="rId16" Type="http://schemas.openxmlformats.org/officeDocument/2006/relationships/hyperlink" Target="https://www.c2020.eu/wp-content/uploads/2023/01/wc-Ellipse-spec.pdf" TargetMode="External"/><Relationship Id="rId11" Type="http://schemas.openxmlformats.org/officeDocument/2006/relationships/hyperlink" Target="https://www.c2020.eu/wp-content/uploads/2023/01/2022-VENTUS-PLENUM-BOX_LINEAR_10-7.pdf" TargetMode="External"/><Relationship Id="rId24" Type="http://schemas.openxmlformats.org/officeDocument/2006/relationships/hyperlink" Target="https://dellinas.eu/3d-models/ac-plenum-box-4-f150/" TargetMode="External"/><Relationship Id="rId32" Type="http://schemas.openxmlformats.org/officeDocument/2006/relationships/hyperlink" Target="https://dellinas.eu/3d-models/c2020-dummy-corner-accessories-90-metope-2/" TargetMode="External"/><Relationship Id="rId37" Type="http://schemas.openxmlformats.org/officeDocument/2006/relationships/hyperlink" Target="https://dellinas.eu/3d-models/c2020-supply-corner-accessories-90-metope-2/" TargetMode="External"/><Relationship Id="rId40" Type="http://schemas.openxmlformats.org/officeDocument/2006/relationships/hyperlink" Target="https://dellinas.eu/3d-models/c2020-supply-curved-accessories-metope-2/" TargetMode="External"/><Relationship Id="rId45" Type="http://schemas.openxmlformats.org/officeDocument/2006/relationships/hyperlink" Target="https://dellinas.eu/3d-models/pak1000-3slot/" TargetMode="External"/><Relationship Id="rId53" Type="http://schemas.openxmlformats.org/officeDocument/2006/relationships/hyperlink" Target="https://dellinas.eu/3d-models/v-slot-supply/" TargetMode="External"/><Relationship Id="rId58" Type="http://schemas.openxmlformats.org/officeDocument/2006/relationships/hyperlink" Target="https://dellinas.eu/3d-models/camouflage-corner-accessory/" TargetMode="External"/><Relationship Id="rId66" Type="http://schemas.openxmlformats.org/officeDocument/2006/relationships/hyperlink" Target="https://www.proairkit.com/pak700/pak700-c2020-40mm/" TargetMode="External"/><Relationship Id="rId74" Type="http://schemas.openxmlformats.org/officeDocument/2006/relationships/hyperlink" Target="https://dellinas.eu/wp-content/uploads/2023/10/2-Slot.pdf" TargetMode="External"/><Relationship Id="rId5" Type="http://schemas.openxmlformats.org/officeDocument/2006/relationships/hyperlink" Target="https://www.c2020.eu/wp-content/uploads/2023/01/c2020-catalogue-final_C2020_50mm.pdf" TargetMode="External"/><Relationship Id="rId61" Type="http://schemas.openxmlformats.org/officeDocument/2006/relationships/hyperlink" Target="https://dellinas.eu/3d-models/c2020/" TargetMode="External"/><Relationship Id="rId19" Type="http://schemas.openxmlformats.org/officeDocument/2006/relationships/hyperlink" Target="https://dellinas.eu/3d-models/2slot-free-return/" TargetMode="External"/><Relationship Id="rId14" Type="http://schemas.openxmlformats.org/officeDocument/2006/relationships/hyperlink" Target="https://www.c2020.eu/wp-content/uploads/2023/01/2022-VENTUS-PLENUM-BOX_AC-PLENUM-BOX.pdf" TargetMode="External"/><Relationship Id="rId22" Type="http://schemas.openxmlformats.org/officeDocument/2006/relationships/hyperlink" Target="https://dellinas.eu/3d-models/ac-plenum-box-2-f150/" TargetMode="External"/><Relationship Id="rId27" Type="http://schemas.openxmlformats.org/officeDocument/2006/relationships/hyperlink" Target="https://dellinas.eu/3d-models/c2020-dummy-corner-accessories-135-ceiling/" TargetMode="External"/><Relationship Id="rId30" Type="http://schemas.openxmlformats.org/officeDocument/2006/relationships/hyperlink" Target="https://dellinas.eu/3d-models/c2020-dummy-corner-accessories-90/" TargetMode="External"/><Relationship Id="rId35" Type="http://schemas.openxmlformats.org/officeDocument/2006/relationships/hyperlink" Target="https://dellinas.eu/3d-models/c2020-supply-corner-accessories-90-ceiling/" TargetMode="External"/><Relationship Id="rId43" Type="http://schemas.openxmlformats.org/officeDocument/2006/relationships/hyperlink" Target="https://dellinas.eu/3d-models/pak1000-1slot/" TargetMode="External"/><Relationship Id="rId48" Type="http://schemas.openxmlformats.org/officeDocument/2006/relationships/hyperlink" Target="https://dellinas.eu/3d-models/pak700-2slot/" TargetMode="External"/><Relationship Id="rId56" Type="http://schemas.openxmlformats.org/officeDocument/2006/relationships/hyperlink" Target="https://dellinas.eu/3d-models/wc-extractor-oval/" TargetMode="External"/><Relationship Id="rId64" Type="http://schemas.openxmlformats.org/officeDocument/2006/relationships/hyperlink" Target="https://dellinas.eu/wp-content/uploads/2023/10/Camouflage.pdf" TargetMode="External"/><Relationship Id="rId69" Type="http://schemas.openxmlformats.org/officeDocument/2006/relationships/hyperlink" Target="https://www.proairkit.com/pak700/pak700-reverse-linear-c12-5-rf30mm/" TargetMode="External"/><Relationship Id="rId77" Type="http://schemas.openxmlformats.org/officeDocument/2006/relationships/drawing" Target="../drawings/drawing1.xml"/><Relationship Id="rId8" Type="http://schemas.openxmlformats.org/officeDocument/2006/relationships/hyperlink" Target="https://www.c2020.eu/wp-content/uploads/2023/01/2022-VENTUS-PLENUM-BOX_FREE-RETURN-2.pdf" TargetMode="External"/><Relationship Id="rId51" Type="http://schemas.openxmlformats.org/officeDocument/2006/relationships/hyperlink" Target="https://dellinas.eu/3d-models/reverse-frame-3-slot-grille-supply/" TargetMode="External"/><Relationship Id="rId72" Type="http://schemas.openxmlformats.org/officeDocument/2006/relationships/hyperlink" Target="https://www.proairkit.com/pak1000/pak1000-reverse-3-slot-25mm-opening/" TargetMode="External"/><Relationship Id="rId3" Type="http://schemas.openxmlformats.org/officeDocument/2006/relationships/hyperlink" Target="https://www.c2020.eu/wp-content/uploads/2023/01/c2020-catalogue-final_C2020_30mm.pdf" TargetMode="External"/><Relationship Id="rId12" Type="http://schemas.openxmlformats.org/officeDocument/2006/relationships/hyperlink" Target="https://dellinas.eu/wp-content/uploads/2023/10/3-Slot.pdf" TargetMode="External"/><Relationship Id="rId17" Type="http://schemas.openxmlformats.org/officeDocument/2006/relationships/hyperlink" Target="https://www.c2020.eu/wp-content/uploads/2023/01/wc-Line-spec.pdf" TargetMode="External"/><Relationship Id="rId25" Type="http://schemas.openxmlformats.org/officeDocument/2006/relationships/hyperlink" Target="https://dellinas.eu/3d-models/c2020/" TargetMode="External"/><Relationship Id="rId33" Type="http://schemas.openxmlformats.org/officeDocument/2006/relationships/hyperlink" Target="https://dellinas.eu/3d-models/c2020-supply-dummy-return/" TargetMode="External"/><Relationship Id="rId38" Type="http://schemas.openxmlformats.org/officeDocument/2006/relationships/hyperlink" Target="https://dellinas.eu/3d-models/c2020-supply-curved-accessories-ceiling/" TargetMode="External"/><Relationship Id="rId46" Type="http://schemas.openxmlformats.org/officeDocument/2006/relationships/hyperlink" Target="https://dellinas.eu/3d-models/pak1000-linear-12-5/" TargetMode="External"/><Relationship Id="rId59" Type="http://schemas.openxmlformats.org/officeDocument/2006/relationships/hyperlink" Target="https://dellinas.eu/3d-models/camouflage-return/" TargetMode="External"/><Relationship Id="rId67" Type="http://schemas.openxmlformats.org/officeDocument/2006/relationships/hyperlink" Target="https://www.proairkit.com/pak700/pak700-reverse-2-slot-25mm-opening/" TargetMode="External"/><Relationship Id="rId20" Type="http://schemas.openxmlformats.org/officeDocument/2006/relationships/hyperlink" Target="https://dellinas.eu/3d-models/2slot-supply/" TargetMode="External"/><Relationship Id="rId41" Type="http://schemas.openxmlformats.org/officeDocument/2006/relationships/hyperlink" Target="https://dellinas.eu/3d-models/linear-grille-c8-5-free-return/" TargetMode="External"/><Relationship Id="rId54" Type="http://schemas.openxmlformats.org/officeDocument/2006/relationships/hyperlink" Target="https://dellinas.eu/3d-models/wc-extractor-c2020/" TargetMode="External"/><Relationship Id="rId62" Type="http://schemas.openxmlformats.org/officeDocument/2006/relationships/hyperlink" Target="https://camouflage.cy/" TargetMode="External"/><Relationship Id="rId70" Type="http://schemas.openxmlformats.org/officeDocument/2006/relationships/hyperlink" Target="https://www.proairkit.com/pak1000/pak1000-c2020-50mm/" TargetMode="External"/><Relationship Id="rId75" Type="http://schemas.openxmlformats.org/officeDocument/2006/relationships/hyperlink" Target="https://dellinas.eu/3d-models/mykonian-access-panel/" TargetMode="External"/><Relationship Id="rId1" Type="http://schemas.openxmlformats.org/officeDocument/2006/relationships/hyperlink" Target="https://www.c2020.eu/wp-content/uploads/2023/01/c2020-catalogue-final_C2020_20mm-2.pdf" TargetMode="External"/><Relationship Id="rId6" Type="http://schemas.openxmlformats.org/officeDocument/2006/relationships/hyperlink" Target="https://www.c2020.eu/wp-content/uploads/2023/01/c2020-catalogue-final_C2020_65mm.pdf" TargetMode="External"/><Relationship Id="rId15" Type="http://schemas.openxmlformats.org/officeDocument/2006/relationships/hyperlink" Target="https://www.c2020.eu/wp-content/uploads/2023/01/wc-Circle-spec.pdf" TargetMode="External"/><Relationship Id="rId23" Type="http://schemas.openxmlformats.org/officeDocument/2006/relationships/hyperlink" Target="https://dellinas.eu/3d-models/ac-plenum-box-3-f150/" TargetMode="External"/><Relationship Id="rId28" Type="http://schemas.openxmlformats.org/officeDocument/2006/relationships/hyperlink" Target="https://dellinas.eu/3d-models/c2020-dummy-corner-accessories-135-metope/" TargetMode="External"/><Relationship Id="rId36" Type="http://schemas.openxmlformats.org/officeDocument/2006/relationships/hyperlink" Target="https://dellinas.eu/3d-models/c2020-supply-corner-accessories-90-metope/" TargetMode="External"/><Relationship Id="rId49" Type="http://schemas.openxmlformats.org/officeDocument/2006/relationships/hyperlink" Target="https://dellinas.eu/3d-models/pak700-3slot/" TargetMode="External"/><Relationship Id="rId57" Type="http://schemas.openxmlformats.org/officeDocument/2006/relationships/hyperlink" Target="https://dellinas.eu/3d-models/wc-extractor-square/" TargetMode="External"/><Relationship Id="rId10" Type="http://schemas.openxmlformats.org/officeDocument/2006/relationships/hyperlink" Target="https://www.c2020.eu/wp-content/uploads/2023/01/2022-VENTUS-PLENUM-BOX_LINEAR_12-5.pdf" TargetMode="External"/><Relationship Id="rId31" Type="http://schemas.openxmlformats.org/officeDocument/2006/relationships/hyperlink" Target="https://dellinas.eu/3d-models/c2020-dummy-corner-accessories-90-metope/" TargetMode="External"/><Relationship Id="rId44" Type="http://schemas.openxmlformats.org/officeDocument/2006/relationships/hyperlink" Target="https://dellinas.eu/3d-models/pak1000-2slot/" TargetMode="External"/><Relationship Id="rId52" Type="http://schemas.openxmlformats.org/officeDocument/2006/relationships/hyperlink" Target="https://dellinas.eu/3d-models/v-slot-free-return/" TargetMode="External"/><Relationship Id="rId60" Type="http://schemas.openxmlformats.org/officeDocument/2006/relationships/hyperlink" Target="https://dellinas.eu/3d-models/camouflage-supply/" TargetMode="External"/><Relationship Id="rId65" Type="http://schemas.openxmlformats.org/officeDocument/2006/relationships/hyperlink" Target="https://dellinas.eu/3d-models/c2020-free-return/" TargetMode="External"/><Relationship Id="rId73" Type="http://schemas.openxmlformats.org/officeDocument/2006/relationships/hyperlink" Target="https://www.proairkit.com/pak1000/pak1000-reverse-linear-c12-5-rf30mm/" TargetMode="External"/><Relationship Id="rId4" Type="http://schemas.openxmlformats.org/officeDocument/2006/relationships/hyperlink" Target="https://www.c2020.eu/wp-content/uploads/2023/01/c2020-catalogue-final_C2020_40mm.pdf" TargetMode="External"/><Relationship Id="rId9" Type="http://schemas.openxmlformats.org/officeDocument/2006/relationships/hyperlink" Target="https://www.c2020.eu/wp-content/uploads/2023/01/2022-VENTUS-PLENUM-BOX_LINEAR_8-5.pdf" TargetMode="External"/><Relationship Id="rId13" Type="http://schemas.openxmlformats.org/officeDocument/2006/relationships/hyperlink" Target="https://www.c2020.eu/wp-content/uploads/2023/01/2022-VENTUS-PLENUM-BOX_V-SLOT.pdf" TargetMode="External"/><Relationship Id="rId18" Type="http://schemas.openxmlformats.org/officeDocument/2006/relationships/hyperlink" Target="https://www.c2020.eu/wp-content/uploads/2023/01/wc-Square-spec.pdf" TargetMode="External"/><Relationship Id="rId39" Type="http://schemas.openxmlformats.org/officeDocument/2006/relationships/hyperlink" Target="https://dellinas.eu/3d-models/c2020-supply-curved-accessories-metope/" TargetMode="External"/><Relationship Id="rId34" Type="http://schemas.openxmlformats.org/officeDocument/2006/relationships/hyperlink" Target="https://dellinas.eu/3d-models/c2020-supply-return/" TargetMode="External"/><Relationship Id="rId50" Type="http://schemas.openxmlformats.org/officeDocument/2006/relationships/hyperlink" Target="https://dellinas.eu/3d-models/pak700-linear-12-5/" TargetMode="External"/><Relationship Id="rId55" Type="http://schemas.openxmlformats.org/officeDocument/2006/relationships/hyperlink" Target="https://dellinas.eu/3d-models/wc-extractor-circular/" TargetMode="External"/><Relationship Id="rId76" Type="http://schemas.openxmlformats.org/officeDocument/2006/relationships/printerSettings" Target="../printerSettings/printerSettings1.bin"/><Relationship Id="rId7" Type="http://schemas.openxmlformats.org/officeDocument/2006/relationships/hyperlink" Target="https://www.c2020.eu/wp-content/uploads/2023/01/c2020-catalogue-final_RETURN.pdf" TargetMode="External"/><Relationship Id="rId71" Type="http://schemas.openxmlformats.org/officeDocument/2006/relationships/hyperlink" Target="https://www.proairkit.com/pak1000/pak1000-reverse-2-slot-30mm-opening/" TargetMode="External"/><Relationship Id="rId2" Type="http://schemas.openxmlformats.org/officeDocument/2006/relationships/hyperlink" Target="https://www.c2020.eu/wp-content/uploads/2023/01/c2020-catalogue-final_C2020_25mm.pdf" TargetMode="External"/><Relationship Id="rId29" Type="http://schemas.openxmlformats.org/officeDocument/2006/relationships/hyperlink" Target="https://dellinas.eu/3d-models/c2020-dummy-corner-accessories-135-metope-2/"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383A9-CDC6-4A7B-A93F-6CAD535A846C}">
  <dimension ref="A1:AE156"/>
  <sheetViews>
    <sheetView tabSelected="1" zoomScale="70" zoomScaleNormal="70" workbookViewId="0">
      <selection activeCell="U12" sqref="U12:W12"/>
    </sheetView>
  </sheetViews>
  <sheetFormatPr defaultRowHeight="15" x14ac:dyDescent="0.25"/>
  <cols>
    <col min="5" max="5" width="17.85546875" customWidth="1"/>
    <col min="6" max="6" width="16.42578125" customWidth="1"/>
    <col min="7" max="7" width="18.85546875" customWidth="1"/>
    <col min="8" max="8" width="56.7109375" customWidth="1"/>
    <col min="14" max="14" width="17.28515625" customWidth="1"/>
    <col min="20" max="20" width="38.85546875" customWidth="1"/>
    <col min="21" max="21" width="12" bestFit="1" customWidth="1"/>
    <col min="27" max="27" width="9.140625" customWidth="1"/>
  </cols>
  <sheetData>
    <row r="1" spans="1:27" ht="15.75" customHeight="1" x14ac:dyDescent="0.25"/>
    <row r="2" spans="1:27" ht="22.5" customHeight="1" x14ac:dyDescent="0.25">
      <c r="B2" s="80" t="s">
        <v>158</v>
      </c>
      <c r="C2" s="80"/>
      <c r="D2" s="80"/>
      <c r="E2" s="80"/>
      <c r="F2" s="80"/>
      <c r="G2" s="80"/>
      <c r="H2" s="80"/>
      <c r="I2" s="80"/>
      <c r="J2" s="80"/>
      <c r="K2" s="80"/>
      <c r="L2" s="80"/>
      <c r="M2" s="80"/>
      <c r="N2" s="80"/>
      <c r="O2" s="80"/>
      <c r="P2" s="80"/>
      <c r="Q2" s="80"/>
      <c r="R2" s="80"/>
      <c r="S2" s="80"/>
    </row>
    <row r="3" spans="1:27" ht="21" customHeight="1" x14ac:dyDescent="0.25">
      <c r="B3" s="79" t="s">
        <v>159</v>
      </c>
      <c r="C3" s="79"/>
      <c r="D3" s="79"/>
      <c r="E3" s="79"/>
      <c r="F3" s="79"/>
      <c r="G3" s="79"/>
      <c r="H3" s="79"/>
      <c r="I3" s="79" t="s">
        <v>160</v>
      </c>
      <c r="J3" s="79"/>
      <c r="K3" s="79"/>
      <c r="L3" s="79"/>
      <c r="M3" s="79"/>
      <c r="N3" s="79"/>
      <c r="O3" s="79"/>
      <c r="P3" s="79"/>
      <c r="Q3" s="79"/>
      <c r="R3" s="79"/>
      <c r="S3" s="79"/>
    </row>
    <row r="4" spans="1:27" ht="183" customHeight="1" x14ac:dyDescent="0.25">
      <c r="B4" s="234" t="s">
        <v>233</v>
      </c>
      <c r="C4" s="235"/>
      <c r="D4" s="235"/>
      <c r="E4" s="235"/>
      <c r="F4" s="235"/>
      <c r="G4" s="235"/>
      <c r="H4" s="236"/>
      <c r="I4" s="78" t="s">
        <v>234</v>
      </c>
      <c r="J4" s="78"/>
      <c r="K4" s="78"/>
      <c r="L4" s="78"/>
      <c r="M4" s="78"/>
      <c r="N4" s="78"/>
      <c r="O4" s="78"/>
      <c r="P4" s="78"/>
      <c r="Q4" s="78"/>
      <c r="R4" s="78"/>
      <c r="S4" s="78"/>
    </row>
    <row r="6" spans="1:27" ht="23.25" x14ac:dyDescent="0.25">
      <c r="B6" s="80" t="s">
        <v>66</v>
      </c>
      <c r="C6" s="80"/>
      <c r="D6" s="80"/>
      <c r="E6" s="80"/>
      <c r="F6" s="80"/>
      <c r="G6" s="80"/>
      <c r="H6" s="80"/>
      <c r="I6" s="80"/>
      <c r="J6" s="80"/>
      <c r="K6" s="80"/>
      <c r="L6" s="80"/>
      <c r="M6" s="80"/>
      <c r="N6" s="80"/>
      <c r="O6" s="80"/>
      <c r="P6" s="80"/>
      <c r="Q6" s="80"/>
      <c r="R6" s="80"/>
      <c r="S6" s="80"/>
    </row>
    <row r="7" spans="1:27" ht="18.75" x14ac:dyDescent="0.25">
      <c r="B7" s="102" t="s">
        <v>67</v>
      </c>
      <c r="C7" s="102"/>
      <c r="D7" s="102"/>
      <c r="E7" s="102"/>
      <c r="F7" s="102"/>
      <c r="G7" s="102"/>
      <c r="H7" s="102"/>
      <c r="I7" s="79" t="s">
        <v>68</v>
      </c>
      <c r="J7" s="79"/>
      <c r="K7" s="79"/>
      <c r="L7" s="79"/>
      <c r="M7" s="79"/>
      <c r="N7" s="79"/>
      <c r="O7" s="79"/>
      <c r="P7" s="79"/>
      <c r="Q7" s="79"/>
      <c r="R7" s="79"/>
      <c r="S7" s="79"/>
    </row>
    <row r="8" spans="1:27" ht="175.5" customHeight="1" x14ac:dyDescent="0.25">
      <c r="B8" s="103" t="s">
        <v>231</v>
      </c>
      <c r="C8" s="104"/>
      <c r="D8" s="104"/>
      <c r="E8" s="104"/>
      <c r="F8" s="104"/>
      <c r="G8" s="104"/>
      <c r="H8" s="105"/>
      <c r="I8" s="78" t="s">
        <v>232</v>
      </c>
      <c r="J8" s="78"/>
      <c r="K8" s="78"/>
      <c r="L8" s="78"/>
      <c r="M8" s="78"/>
      <c r="N8" s="78"/>
      <c r="O8" s="78"/>
      <c r="P8" s="78"/>
      <c r="Q8" s="78"/>
      <c r="R8" s="78"/>
      <c r="S8" s="78"/>
    </row>
    <row r="9" spans="1:27" ht="34.5" customHeight="1" x14ac:dyDescent="0.25">
      <c r="A9" s="108" t="s">
        <v>12</v>
      </c>
      <c r="B9" s="108"/>
      <c r="C9" s="108"/>
      <c r="D9" s="108"/>
      <c r="E9" s="108"/>
      <c r="F9" s="108"/>
      <c r="G9" s="108"/>
      <c r="H9" s="108"/>
      <c r="I9" s="108"/>
      <c r="J9" s="108"/>
      <c r="K9" s="108"/>
      <c r="L9" s="108"/>
      <c r="M9" s="108"/>
      <c r="N9" s="108"/>
      <c r="O9" s="108"/>
      <c r="P9" s="108"/>
      <c r="Q9" s="108"/>
      <c r="R9" s="108"/>
      <c r="S9" s="108"/>
      <c r="T9" s="108"/>
      <c r="U9" s="108"/>
      <c r="V9" s="108"/>
      <c r="W9" s="108"/>
    </row>
    <row r="10" spans="1:27" ht="26.25" x14ac:dyDescent="0.25">
      <c r="A10" s="41" t="s">
        <v>0</v>
      </c>
      <c r="B10" s="115" t="s">
        <v>1</v>
      </c>
      <c r="C10" s="115"/>
      <c r="D10" s="115"/>
      <c r="E10" s="115" t="s">
        <v>100</v>
      </c>
      <c r="F10" s="115"/>
      <c r="G10" s="115"/>
      <c r="H10" s="115"/>
      <c r="I10" s="115" t="s">
        <v>101</v>
      </c>
      <c r="J10" s="115"/>
      <c r="K10" s="115"/>
      <c r="L10" s="115" t="s">
        <v>13</v>
      </c>
      <c r="M10" s="115"/>
      <c r="N10" s="115"/>
      <c r="O10" s="115" t="s">
        <v>61</v>
      </c>
      <c r="P10" s="115"/>
      <c r="Q10" s="115"/>
      <c r="R10" s="115" t="s">
        <v>161</v>
      </c>
      <c r="S10" s="115"/>
      <c r="T10" s="115"/>
      <c r="U10" s="115" t="s">
        <v>92</v>
      </c>
      <c r="V10" s="115"/>
      <c r="W10" s="115"/>
    </row>
    <row r="11" spans="1:27" ht="24.75" customHeight="1" x14ac:dyDescent="0.25">
      <c r="A11" s="109" t="s">
        <v>10</v>
      </c>
      <c r="B11" s="109"/>
      <c r="C11" s="109"/>
      <c r="D11" s="109"/>
      <c r="E11" s="109"/>
      <c r="F11" s="109"/>
      <c r="G11" s="109"/>
      <c r="H11" s="109"/>
      <c r="I11" s="109"/>
      <c r="J11" s="109"/>
      <c r="K11" s="109"/>
      <c r="L11" s="109"/>
      <c r="M11" s="109"/>
      <c r="N11" s="109"/>
      <c r="O11" s="109"/>
      <c r="P11" s="109"/>
      <c r="Q11" s="109"/>
      <c r="R11" s="109"/>
      <c r="S11" s="109"/>
      <c r="T11" s="109"/>
      <c r="U11" s="109"/>
      <c r="V11" s="109"/>
      <c r="W11" s="109"/>
    </row>
    <row r="12" spans="1:27" ht="22.5" customHeight="1" x14ac:dyDescent="0.25">
      <c r="A12" s="14">
        <v>1</v>
      </c>
      <c r="B12" s="116" t="s">
        <v>2</v>
      </c>
      <c r="C12" s="116"/>
      <c r="D12" s="116"/>
      <c r="E12" s="117" t="s">
        <v>94</v>
      </c>
      <c r="F12" s="117"/>
      <c r="G12" s="117"/>
      <c r="H12" s="117"/>
      <c r="I12" s="156"/>
      <c r="J12" s="157"/>
      <c r="K12" s="158"/>
      <c r="L12" s="176" t="s">
        <v>185</v>
      </c>
      <c r="M12" s="195"/>
      <c r="N12" s="196"/>
      <c r="O12" s="155"/>
      <c r="P12" s="155"/>
      <c r="Q12" s="155"/>
      <c r="R12" s="110" t="s">
        <v>162</v>
      </c>
      <c r="S12" s="111"/>
      <c r="T12" s="111"/>
      <c r="U12" s="110" t="s">
        <v>92</v>
      </c>
      <c r="V12" s="110"/>
      <c r="W12" s="110"/>
      <c r="AA12" s="35"/>
    </row>
    <row r="13" spans="1:27" ht="22.5" customHeight="1" x14ac:dyDescent="0.25">
      <c r="A13" s="13">
        <v>2</v>
      </c>
      <c r="B13" s="118" t="s">
        <v>3</v>
      </c>
      <c r="C13" s="118"/>
      <c r="D13" s="118"/>
      <c r="E13" s="117" t="s">
        <v>95</v>
      </c>
      <c r="F13" s="117"/>
      <c r="G13" s="117"/>
      <c r="H13" s="117"/>
      <c r="I13" s="156"/>
      <c r="J13" s="157"/>
      <c r="K13" s="158"/>
      <c r="L13" s="176"/>
      <c r="M13" s="195"/>
      <c r="N13" s="196"/>
      <c r="O13" s="152"/>
      <c r="P13" s="152"/>
      <c r="Q13" s="152"/>
      <c r="R13" s="112" t="s">
        <v>163</v>
      </c>
      <c r="S13" s="113"/>
      <c r="T13" s="114"/>
      <c r="U13" s="110" t="s">
        <v>92</v>
      </c>
      <c r="V13" s="110"/>
      <c r="W13" s="110"/>
    </row>
    <row r="14" spans="1:27" ht="23.25" customHeight="1" x14ac:dyDescent="0.25">
      <c r="A14" s="13">
        <v>3</v>
      </c>
      <c r="B14" s="118" t="s">
        <v>4</v>
      </c>
      <c r="C14" s="118"/>
      <c r="D14" s="118"/>
      <c r="E14" s="117" t="s">
        <v>96</v>
      </c>
      <c r="F14" s="117"/>
      <c r="G14" s="117"/>
      <c r="H14" s="117"/>
      <c r="I14" s="156"/>
      <c r="J14" s="157"/>
      <c r="K14" s="158"/>
      <c r="L14" s="176"/>
      <c r="M14" s="195"/>
      <c r="N14" s="196"/>
      <c r="O14" s="152"/>
      <c r="P14" s="152"/>
      <c r="Q14" s="152"/>
      <c r="R14" s="112" t="s">
        <v>164</v>
      </c>
      <c r="S14" s="113"/>
      <c r="T14" s="114"/>
      <c r="U14" s="110" t="s">
        <v>92</v>
      </c>
      <c r="V14" s="110"/>
      <c r="W14" s="110"/>
    </row>
    <row r="15" spans="1:27" ht="23.25" customHeight="1" x14ac:dyDescent="0.25">
      <c r="A15" s="13">
        <v>4</v>
      </c>
      <c r="B15" s="118" t="s">
        <v>5</v>
      </c>
      <c r="C15" s="118"/>
      <c r="D15" s="118"/>
      <c r="E15" s="117" t="s">
        <v>97</v>
      </c>
      <c r="F15" s="117"/>
      <c r="G15" s="117"/>
      <c r="H15" s="117"/>
      <c r="I15" s="156"/>
      <c r="J15" s="157"/>
      <c r="K15" s="158"/>
      <c r="L15" s="176"/>
      <c r="M15" s="195"/>
      <c r="N15" s="196"/>
      <c r="O15" s="152"/>
      <c r="P15" s="152"/>
      <c r="Q15" s="152"/>
      <c r="R15" s="112" t="s">
        <v>165</v>
      </c>
      <c r="S15" s="113"/>
      <c r="T15" s="114"/>
      <c r="U15" s="110" t="s">
        <v>92</v>
      </c>
      <c r="V15" s="110"/>
      <c r="W15" s="110"/>
    </row>
    <row r="16" spans="1:27" ht="21.75" customHeight="1" x14ac:dyDescent="0.25">
      <c r="A16" s="13">
        <v>5</v>
      </c>
      <c r="B16" s="118" t="s">
        <v>6</v>
      </c>
      <c r="C16" s="118"/>
      <c r="D16" s="118"/>
      <c r="E16" s="117" t="s">
        <v>98</v>
      </c>
      <c r="F16" s="117"/>
      <c r="G16" s="117"/>
      <c r="H16" s="117"/>
      <c r="I16" s="156"/>
      <c r="J16" s="157"/>
      <c r="K16" s="158"/>
      <c r="L16" s="176"/>
      <c r="M16" s="195"/>
      <c r="N16" s="196"/>
      <c r="O16" s="152"/>
      <c r="P16" s="152"/>
      <c r="Q16" s="152"/>
      <c r="R16" s="99" t="s">
        <v>166</v>
      </c>
      <c r="S16" s="113"/>
      <c r="T16" s="114"/>
      <c r="U16" s="110" t="s">
        <v>92</v>
      </c>
      <c r="V16" s="110"/>
      <c r="W16" s="110"/>
    </row>
    <row r="17" spans="1:23" ht="21" customHeight="1" x14ac:dyDescent="0.25">
      <c r="A17" s="13">
        <v>6</v>
      </c>
      <c r="B17" s="118" t="s">
        <v>7</v>
      </c>
      <c r="C17" s="118"/>
      <c r="D17" s="118"/>
      <c r="E17" s="117" t="s">
        <v>99</v>
      </c>
      <c r="F17" s="117"/>
      <c r="G17" s="117"/>
      <c r="H17" s="117"/>
      <c r="I17" s="159"/>
      <c r="J17" s="160"/>
      <c r="K17" s="161"/>
      <c r="L17" s="186"/>
      <c r="M17" s="187"/>
      <c r="N17" s="188"/>
      <c r="O17" s="152"/>
      <c r="P17" s="152"/>
      <c r="Q17" s="152"/>
      <c r="R17" s="99" t="s">
        <v>167</v>
      </c>
      <c r="S17" s="113"/>
      <c r="T17" s="114"/>
      <c r="U17" s="110" t="s">
        <v>92</v>
      </c>
      <c r="V17" s="110"/>
      <c r="W17" s="110"/>
    </row>
    <row r="18" spans="1:23" ht="26.25" customHeight="1" x14ac:dyDescent="0.25">
      <c r="A18" s="109" t="s">
        <v>11</v>
      </c>
      <c r="B18" s="109"/>
      <c r="C18" s="109"/>
      <c r="D18" s="109"/>
      <c r="E18" s="109"/>
      <c r="F18" s="109"/>
      <c r="G18" s="109"/>
      <c r="H18" s="109"/>
      <c r="I18" s="109"/>
      <c r="J18" s="109"/>
      <c r="K18" s="109"/>
      <c r="L18" s="109"/>
      <c r="M18" s="109"/>
      <c r="N18" s="109"/>
      <c r="O18" s="109"/>
      <c r="P18" s="109"/>
      <c r="Q18" s="109"/>
      <c r="R18" s="109"/>
      <c r="S18" s="109"/>
      <c r="T18" s="109"/>
      <c r="U18" s="109"/>
      <c r="V18" s="109"/>
      <c r="W18" s="109"/>
    </row>
    <row r="19" spans="1:23" ht="22.5" customHeight="1" x14ac:dyDescent="0.25">
      <c r="A19" s="14">
        <v>1</v>
      </c>
      <c r="B19" s="116" t="s">
        <v>2</v>
      </c>
      <c r="C19" s="116"/>
      <c r="D19" s="116"/>
      <c r="E19" s="117" t="s">
        <v>94</v>
      </c>
      <c r="F19" s="117"/>
      <c r="G19" s="117"/>
      <c r="H19" s="117"/>
      <c r="I19" s="156"/>
      <c r="J19" s="157"/>
      <c r="K19" s="158"/>
      <c r="L19" s="176" t="s">
        <v>185</v>
      </c>
      <c r="M19" s="195"/>
      <c r="N19" s="196"/>
      <c r="O19" s="155"/>
      <c r="P19" s="155"/>
      <c r="Q19" s="155"/>
      <c r="R19" s="149" t="s">
        <v>168</v>
      </c>
      <c r="S19" s="237"/>
      <c r="T19" s="238"/>
    </row>
    <row r="20" spans="1:23" ht="24.75" customHeight="1" x14ac:dyDescent="0.25">
      <c r="A20" s="13">
        <v>2</v>
      </c>
      <c r="B20" s="118" t="s">
        <v>3</v>
      </c>
      <c r="C20" s="118"/>
      <c r="D20" s="118"/>
      <c r="E20" s="117" t="s">
        <v>95</v>
      </c>
      <c r="F20" s="117"/>
      <c r="G20" s="117"/>
      <c r="H20" s="117"/>
      <c r="I20" s="156"/>
      <c r="J20" s="157"/>
      <c r="K20" s="158"/>
      <c r="L20" s="176"/>
      <c r="M20" s="195"/>
      <c r="N20" s="196"/>
      <c r="O20" s="152"/>
      <c r="P20" s="152"/>
      <c r="Q20" s="152"/>
      <c r="R20" s="221"/>
      <c r="S20" s="239"/>
      <c r="T20" s="240"/>
    </row>
    <row r="21" spans="1:23" ht="23.25" customHeight="1" x14ac:dyDescent="0.25">
      <c r="A21" s="13">
        <v>3</v>
      </c>
      <c r="B21" s="118" t="s">
        <v>4</v>
      </c>
      <c r="C21" s="118"/>
      <c r="D21" s="118"/>
      <c r="E21" s="117" t="s">
        <v>96</v>
      </c>
      <c r="F21" s="117"/>
      <c r="G21" s="117"/>
      <c r="H21" s="117"/>
      <c r="I21" s="156"/>
      <c r="J21" s="157"/>
      <c r="K21" s="158"/>
      <c r="L21" s="176"/>
      <c r="M21" s="195"/>
      <c r="N21" s="196"/>
      <c r="O21" s="152"/>
      <c r="P21" s="152"/>
      <c r="Q21" s="152"/>
      <c r="R21" s="221"/>
      <c r="S21" s="239"/>
      <c r="T21" s="240"/>
    </row>
    <row r="22" spans="1:23" ht="22.5" customHeight="1" x14ac:dyDescent="0.25">
      <c r="A22" s="13">
        <v>4</v>
      </c>
      <c r="B22" s="118" t="s">
        <v>5</v>
      </c>
      <c r="C22" s="118"/>
      <c r="D22" s="118"/>
      <c r="E22" s="117" t="s">
        <v>97</v>
      </c>
      <c r="F22" s="117"/>
      <c r="G22" s="117"/>
      <c r="H22" s="117"/>
      <c r="I22" s="156"/>
      <c r="J22" s="157"/>
      <c r="K22" s="158"/>
      <c r="L22" s="176"/>
      <c r="M22" s="195"/>
      <c r="N22" s="196"/>
      <c r="O22" s="152"/>
      <c r="P22" s="152"/>
      <c r="Q22" s="152"/>
      <c r="R22" s="221"/>
      <c r="S22" s="239"/>
      <c r="T22" s="240"/>
    </row>
    <row r="23" spans="1:23" ht="22.5" customHeight="1" x14ac:dyDescent="0.25">
      <c r="A23" s="13">
        <v>5</v>
      </c>
      <c r="B23" s="118" t="s">
        <v>6</v>
      </c>
      <c r="C23" s="118"/>
      <c r="D23" s="118"/>
      <c r="E23" s="117" t="s">
        <v>98</v>
      </c>
      <c r="F23" s="117"/>
      <c r="G23" s="117"/>
      <c r="H23" s="117"/>
      <c r="I23" s="156"/>
      <c r="J23" s="157"/>
      <c r="K23" s="158"/>
      <c r="L23" s="176"/>
      <c r="M23" s="195"/>
      <c r="N23" s="196"/>
      <c r="O23" s="152"/>
      <c r="P23" s="152"/>
      <c r="Q23" s="152"/>
      <c r="R23" s="221"/>
      <c r="S23" s="239"/>
      <c r="T23" s="240"/>
    </row>
    <row r="24" spans="1:23" ht="24" customHeight="1" x14ac:dyDescent="0.25">
      <c r="A24" s="13">
        <v>6</v>
      </c>
      <c r="B24" s="118" t="s">
        <v>7</v>
      </c>
      <c r="C24" s="118"/>
      <c r="D24" s="118"/>
      <c r="E24" s="117" t="s">
        <v>99</v>
      </c>
      <c r="F24" s="117"/>
      <c r="G24" s="117"/>
      <c r="H24" s="117"/>
      <c r="I24" s="159"/>
      <c r="J24" s="160"/>
      <c r="K24" s="161"/>
      <c r="L24" s="186"/>
      <c r="M24" s="187"/>
      <c r="N24" s="188"/>
      <c r="O24" s="152"/>
      <c r="P24" s="152"/>
      <c r="Q24" s="152"/>
      <c r="R24" s="241"/>
      <c r="S24" s="242"/>
      <c r="T24" s="243"/>
    </row>
    <row r="25" spans="1:23" ht="24.75" customHeight="1" x14ac:dyDescent="0.25">
      <c r="A25" s="109" t="s">
        <v>9</v>
      </c>
      <c r="B25" s="109"/>
      <c r="C25" s="109"/>
      <c r="D25" s="109"/>
      <c r="E25" s="109"/>
      <c r="F25" s="109"/>
      <c r="G25" s="109"/>
      <c r="H25" s="109"/>
      <c r="I25" s="109"/>
      <c r="J25" s="109"/>
      <c r="K25" s="109"/>
      <c r="L25" s="109"/>
      <c r="M25" s="109"/>
      <c r="N25" s="109"/>
      <c r="O25" s="109"/>
      <c r="P25" s="109"/>
      <c r="Q25" s="109"/>
      <c r="R25" s="109"/>
      <c r="S25" s="109"/>
      <c r="T25" s="109"/>
      <c r="U25" s="42"/>
      <c r="V25" s="42"/>
      <c r="W25" s="42"/>
    </row>
    <row r="26" spans="1:23" ht="25.5" customHeight="1" x14ac:dyDescent="0.25">
      <c r="A26" s="14">
        <v>1</v>
      </c>
      <c r="B26" s="116" t="s">
        <v>2</v>
      </c>
      <c r="C26" s="116"/>
      <c r="D26" s="116"/>
      <c r="E26" s="117" t="s">
        <v>102</v>
      </c>
      <c r="F26" s="117"/>
      <c r="G26" s="117"/>
      <c r="H26" s="117"/>
      <c r="I26" s="156"/>
      <c r="J26" s="157"/>
      <c r="K26" s="158"/>
      <c r="L26" s="176" t="s">
        <v>230</v>
      </c>
      <c r="M26" s="157"/>
      <c r="N26" s="158"/>
      <c r="O26" s="155"/>
      <c r="P26" s="155"/>
      <c r="Q26" s="155"/>
      <c r="R26" s="208" t="s">
        <v>169</v>
      </c>
      <c r="S26" s="207"/>
      <c r="T26" s="207"/>
    </row>
    <row r="27" spans="1:23" ht="23.25" customHeight="1" x14ac:dyDescent="0.25">
      <c r="A27" s="13">
        <v>2</v>
      </c>
      <c r="B27" s="118" t="s">
        <v>3</v>
      </c>
      <c r="C27" s="118"/>
      <c r="D27" s="118"/>
      <c r="E27" s="154" t="s">
        <v>103</v>
      </c>
      <c r="F27" s="154"/>
      <c r="G27" s="154"/>
      <c r="H27" s="154"/>
      <c r="I27" s="156"/>
      <c r="J27" s="157"/>
      <c r="K27" s="158"/>
      <c r="L27" s="156"/>
      <c r="M27" s="157"/>
      <c r="N27" s="158"/>
      <c r="O27" s="152"/>
      <c r="P27" s="152"/>
      <c r="Q27" s="152"/>
      <c r="R27" s="111"/>
      <c r="S27" s="111"/>
      <c r="T27" s="111"/>
    </row>
    <row r="28" spans="1:23" ht="24" customHeight="1" x14ac:dyDescent="0.25">
      <c r="A28" s="13">
        <v>3</v>
      </c>
      <c r="B28" s="118" t="s">
        <v>4</v>
      </c>
      <c r="C28" s="118"/>
      <c r="D28" s="118"/>
      <c r="E28" s="154" t="s">
        <v>104</v>
      </c>
      <c r="F28" s="154"/>
      <c r="G28" s="154"/>
      <c r="H28" s="154"/>
      <c r="I28" s="156"/>
      <c r="J28" s="157"/>
      <c r="K28" s="158"/>
      <c r="L28" s="156"/>
      <c r="M28" s="157"/>
      <c r="N28" s="158"/>
      <c r="O28" s="152"/>
      <c r="P28" s="152"/>
      <c r="Q28" s="152"/>
      <c r="R28" s="111"/>
      <c r="S28" s="111"/>
      <c r="T28" s="111"/>
    </row>
    <row r="29" spans="1:23" ht="24.75" customHeight="1" x14ac:dyDescent="0.25">
      <c r="A29" s="13">
        <v>4</v>
      </c>
      <c r="B29" s="118" t="s">
        <v>5</v>
      </c>
      <c r="C29" s="118"/>
      <c r="D29" s="118"/>
      <c r="E29" s="154" t="s">
        <v>105</v>
      </c>
      <c r="F29" s="154"/>
      <c r="G29" s="154"/>
      <c r="H29" s="154"/>
      <c r="I29" s="156"/>
      <c r="J29" s="157"/>
      <c r="K29" s="158"/>
      <c r="L29" s="156"/>
      <c r="M29" s="157"/>
      <c r="N29" s="158"/>
      <c r="O29" s="152"/>
      <c r="P29" s="152"/>
      <c r="Q29" s="152"/>
      <c r="R29" s="111"/>
      <c r="S29" s="111"/>
      <c r="T29" s="111"/>
    </row>
    <row r="30" spans="1:23" ht="25.5" customHeight="1" x14ac:dyDescent="0.25">
      <c r="A30" s="13">
        <v>5</v>
      </c>
      <c r="B30" s="118" t="s">
        <v>6</v>
      </c>
      <c r="C30" s="118"/>
      <c r="D30" s="118"/>
      <c r="E30" s="154" t="s">
        <v>106</v>
      </c>
      <c r="F30" s="154"/>
      <c r="G30" s="154"/>
      <c r="H30" s="154"/>
      <c r="I30" s="156"/>
      <c r="J30" s="157"/>
      <c r="K30" s="158"/>
      <c r="L30" s="156"/>
      <c r="M30" s="157"/>
      <c r="N30" s="158"/>
      <c r="O30" s="152"/>
      <c r="P30" s="152"/>
      <c r="Q30" s="152"/>
      <c r="R30" s="111"/>
      <c r="S30" s="111"/>
      <c r="T30" s="111"/>
    </row>
    <row r="31" spans="1:23" ht="27.75" customHeight="1" x14ac:dyDescent="0.25">
      <c r="A31" s="13">
        <v>6</v>
      </c>
      <c r="B31" s="118" t="s">
        <v>7</v>
      </c>
      <c r="C31" s="118"/>
      <c r="D31" s="118"/>
      <c r="E31" s="154" t="s">
        <v>107</v>
      </c>
      <c r="F31" s="154"/>
      <c r="G31" s="154"/>
      <c r="H31" s="154"/>
      <c r="I31" s="159"/>
      <c r="J31" s="160"/>
      <c r="K31" s="161"/>
      <c r="L31" s="159"/>
      <c r="M31" s="160"/>
      <c r="N31" s="161"/>
      <c r="O31" s="152"/>
      <c r="P31" s="152"/>
      <c r="Q31" s="152"/>
      <c r="R31" s="111"/>
      <c r="S31" s="111"/>
      <c r="T31" s="111"/>
    </row>
    <row r="32" spans="1:23" ht="27.75" customHeight="1" x14ac:dyDescent="0.25">
      <c r="A32" s="109" t="s">
        <v>62</v>
      </c>
      <c r="B32" s="109"/>
      <c r="C32" s="109"/>
      <c r="D32" s="109"/>
      <c r="E32" s="109"/>
      <c r="F32" s="109"/>
      <c r="G32" s="109"/>
      <c r="H32" s="109"/>
      <c r="I32" s="109"/>
      <c r="J32" s="109"/>
      <c r="K32" s="109"/>
      <c r="L32" s="109"/>
      <c r="M32" s="109"/>
      <c r="N32" s="109"/>
      <c r="O32" s="109"/>
      <c r="P32" s="109"/>
      <c r="Q32" s="109"/>
      <c r="R32" s="42"/>
      <c r="S32" s="42"/>
      <c r="T32" s="42"/>
      <c r="U32" s="42"/>
      <c r="V32" s="42"/>
      <c r="W32" s="42"/>
    </row>
    <row r="33" spans="1:31" s="15" customFormat="1" ht="27.75" customHeight="1" x14ac:dyDescent="0.25">
      <c r="A33" s="13">
        <v>1</v>
      </c>
      <c r="B33" s="118" t="s">
        <v>2</v>
      </c>
      <c r="C33" s="118"/>
      <c r="D33" s="118"/>
      <c r="E33" s="154" t="s">
        <v>110</v>
      </c>
      <c r="F33" s="154"/>
      <c r="G33" s="154"/>
      <c r="H33" s="154"/>
      <c r="I33" s="132"/>
      <c r="J33" s="124"/>
      <c r="K33" s="125"/>
      <c r="L33" s="123" t="s">
        <v>186</v>
      </c>
      <c r="M33" s="124"/>
      <c r="N33" s="125"/>
      <c r="O33" s="132"/>
      <c r="P33" s="124"/>
      <c r="Q33" s="125"/>
      <c r="R33"/>
      <c r="S33"/>
      <c r="T33"/>
      <c r="U33"/>
      <c r="V33"/>
      <c r="W33"/>
      <c r="X33"/>
      <c r="Y33"/>
      <c r="Z33"/>
      <c r="AA33"/>
      <c r="AB33"/>
      <c r="AC33"/>
      <c r="AD33"/>
      <c r="AE33"/>
    </row>
    <row r="34" spans="1:31" s="15" customFormat="1" ht="27.75" customHeight="1" x14ac:dyDescent="0.25">
      <c r="A34" s="14">
        <v>2</v>
      </c>
      <c r="B34" s="133" t="s">
        <v>3</v>
      </c>
      <c r="C34" s="134"/>
      <c r="D34" s="135"/>
      <c r="E34" s="117" t="s">
        <v>108</v>
      </c>
      <c r="F34" s="117"/>
      <c r="G34" s="117"/>
      <c r="H34" s="117"/>
      <c r="I34" s="126"/>
      <c r="J34" s="127"/>
      <c r="K34" s="128"/>
      <c r="L34" s="126"/>
      <c r="M34" s="127"/>
      <c r="N34" s="128"/>
      <c r="O34" s="126"/>
      <c r="P34" s="127"/>
      <c r="Q34" s="128"/>
      <c r="R34"/>
      <c r="S34"/>
      <c r="T34"/>
      <c r="U34"/>
      <c r="V34"/>
      <c r="W34"/>
      <c r="X34"/>
      <c r="Y34"/>
      <c r="Z34"/>
      <c r="AA34"/>
      <c r="AB34"/>
      <c r="AC34"/>
      <c r="AD34"/>
      <c r="AE34"/>
    </row>
    <row r="35" spans="1:31" s="15" customFormat="1" ht="27.75" customHeight="1" x14ac:dyDescent="0.25">
      <c r="A35" s="13">
        <v>3</v>
      </c>
      <c r="B35" s="84" t="s">
        <v>4</v>
      </c>
      <c r="C35" s="85"/>
      <c r="D35" s="86"/>
      <c r="E35" s="154" t="s">
        <v>109</v>
      </c>
      <c r="F35" s="154"/>
      <c r="G35" s="154"/>
      <c r="H35" s="154"/>
      <c r="I35" s="126"/>
      <c r="J35" s="127"/>
      <c r="K35" s="128"/>
      <c r="L35" s="126"/>
      <c r="M35" s="127"/>
      <c r="N35" s="128"/>
      <c r="O35" s="126"/>
      <c r="P35" s="127"/>
      <c r="Q35" s="128"/>
      <c r="R35"/>
      <c r="S35"/>
      <c r="T35"/>
      <c r="U35"/>
      <c r="V35"/>
      <c r="W35"/>
      <c r="X35"/>
      <c r="Y35"/>
      <c r="Z35"/>
      <c r="AA35"/>
      <c r="AB35"/>
      <c r="AC35"/>
      <c r="AD35"/>
      <c r="AE35"/>
    </row>
    <row r="36" spans="1:31" s="15" customFormat="1" ht="27.75" customHeight="1" x14ac:dyDescent="0.25">
      <c r="A36" s="13">
        <v>4</v>
      </c>
      <c r="B36" s="84" t="s">
        <v>5</v>
      </c>
      <c r="C36" s="85"/>
      <c r="D36" s="86"/>
      <c r="E36" s="154" t="s">
        <v>111</v>
      </c>
      <c r="F36" s="154"/>
      <c r="G36" s="154"/>
      <c r="H36" s="154"/>
      <c r="I36" s="126"/>
      <c r="J36" s="127"/>
      <c r="K36" s="128"/>
      <c r="L36" s="126"/>
      <c r="M36" s="127"/>
      <c r="N36" s="128"/>
      <c r="O36" s="126"/>
      <c r="P36" s="127"/>
      <c r="Q36" s="128"/>
      <c r="R36"/>
      <c r="S36"/>
      <c r="T36"/>
      <c r="U36"/>
      <c r="V36"/>
      <c r="W36"/>
      <c r="X36"/>
      <c r="Y36"/>
      <c r="Z36"/>
      <c r="AA36"/>
      <c r="AB36"/>
      <c r="AC36"/>
      <c r="AD36"/>
      <c r="AE36"/>
    </row>
    <row r="37" spans="1:31" s="15" customFormat="1" ht="27.75" customHeight="1" x14ac:dyDescent="0.25">
      <c r="A37" s="13">
        <v>5</v>
      </c>
      <c r="B37" s="84" t="s">
        <v>6</v>
      </c>
      <c r="C37" s="85"/>
      <c r="D37" s="86"/>
      <c r="E37" s="154" t="s">
        <v>112</v>
      </c>
      <c r="F37" s="154"/>
      <c r="G37" s="154"/>
      <c r="H37" s="154"/>
      <c r="I37" s="126"/>
      <c r="J37" s="127"/>
      <c r="K37" s="128"/>
      <c r="L37" s="126"/>
      <c r="M37" s="127"/>
      <c r="N37" s="128"/>
      <c r="O37" s="126"/>
      <c r="P37" s="127"/>
      <c r="Q37" s="128"/>
      <c r="R37"/>
      <c r="S37"/>
      <c r="T37"/>
      <c r="U37"/>
      <c r="V37"/>
      <c r="W37"/>
      <c r="X37"/>
      <c r="Y37"/>
      <c r="Z37"/>
      <c r="AA37"/>
      <c r="AB37"/>
      <c r="AC37"/>
      <c r="AD37"/>
      <c r="AE37"/>
    </row>
    <row r="38" spans="1:31" s="15" customFormat="1" ht="27.75" customHeight="1" x14ac:dyDescent="0.25">
      <c r="A38" s="13">
        <v>6</v>
      </c>
      <c r="B38" s="84" t="s">
        <v>7</v>
      </c>
      <c r="C38" s="85"/>
      <c r="D38" s="86"/>
      <c r="E38" s="154" t="s">
        <v>113</v>
      </c>
      <c r="F38" s="154"/>
      <c r="G38" s="154"/>
      <c r="H38" s="154"/>
      <c r="I38" s="129"/>
      <c r="J38" s="130"/>
      <c r="K38" s="131"/>
      <c r="L38" s="129"/>
      <c r="M38" s="130"/>
      <c r="N38" s="131"/>
      <c r="O38" s="129"/>
      <c r="P38" s="130"/>
      <c r="Q38" s="131"/>
      <c r="R38"/>
      <c r="S38"/>
      <c r="T38"/>
      <c r="U38"/>
      <c r="V38"/>
      <c r="W38"/>
      <c r="X38"/>
      <c r="Y38"/>
      <c r="Z38"/>
      <c r="AA38"/>
      <c r="AB38"/>
      <c r="AC38"/>
      <c r="AD38"/>
      <c r="AE38"/>
    </row>
    <row r="39" spans="1:31" ht="36.75" customHeight="1" x14ac:dyDescent="0.25">
      <c r="A39" s="109" t="s">
        <v>41</v>
      </c>
      <c r="B39" s="109"/>
      <c r="C39" s="109"/>
      <c r="D39" s="109"/>
      <c r="E39" s="109"/>
      <c r="F39" s="109"/>
      <c r="G39" s="109"/>
      <c r="H39" s="109"/>
      <c r="I39" s="109"/>
      <c r="J39" s="109"/>
      <c r="K39" s="109"/>
      <c r="L39" s="109"/>
      <c r="M39" s="109"/>
      <c r="N39" s="109"/>
      <c r="O39" s="109"/>
      <c r="P39" s="109"/>
      <c r="Q39" s="109"/>
      <c r="R39" s="42"/>
      <c r="S39" s="42"/>
      <c r="T39" s="42"/>
      <c r="U39" s="42"/>
      <c r="V39" s="42"/>
      <c r="W39" s="42"/>
    </row>
    <row r="40" spans="1:31" ht="51" customHeight="1" x14ac:dyDescent="0.25">
      <c r="A40" s="14">
        <v>1</v>
      </c>
      <c r="B40" s="133" t="s">
        <v>2</v>
      </c>
      <c r="C40" s="134"/>
      <c r="D40" s="135"/>
      <c r="E40" s="136" t="s">
        <v>114</v>
      </c>
      <c r="F40" s="137"/>
      <c r="G40" s="137"/>
      <c r="H40" s="138"/>
      <c r="I40" s="156"/>
      <c r="J40" s="157"/>
      <c r="K40" s="158"/>
      <c r="L40" s="176" t="s">
        <v>194</v>
      </c>
      <c r="M40" s="157"/>
      <c r="N40" s="158"/>
      <c r="O40" s="155"/>
      <c r="P40" s="155"/>
      <c r="Q40" s="155"/>
    </row>
    <row r="41" spans="1:31" ht="51" customHeight="1" x14ac:dyDescent="0.25">
      <c r="A41" s="13">
        <v>2</v>
      </c>
      <c r="B41" s="84" t="s">
        <v>3</v>
      </c>
      <c r="C41" s="85"/>
      <c r="D41" s="86"/>
      <c r="E41" s="136" t="s">
        <v>115</v>
      </c>
      <c r="F41" s="137"/>
      <c r="G41" s="137"/>
      <c r="H41" s="138"/>
      <c r="I41" s="156"/>
      <c r="J41" s="157"/>
      <c r="K41" s="158"/>
      <c r="L41" s="156"/>
      <c r="M41" s="157"/>
      <c r="N41" s="158"/>
      <c r="O41" s="152"/>
      <c r="P41" s="152"/>
      <c r="Q41" s="152"/>
    </row>
    <row r="42" spans="1:31" ht="51" customHeight="1" x14ac:dyDescent="0.25">
      <c r="A42" s="13">
        <v>3</v>
      </c>
      <c r="B42" s="84" t="s">
        <v>4</v>
      </c>
      <c r="C42" s="85"/>
      <c r="D42" s="86"/>
      <c r="E42" s="136" t="s">
        <v>116</v>
      </c>
      <c r="F42" s="137"/>
      <c r="G42" s="137"/>
      <c r="H42" s="138"/>
      <c r="I42" s="156"/>
      <c r="J42" s="157"/>
      <c r="K42" s="158"/>
      <c r="L42" s="156"/>
      <c r="M42" s="157"/>
      <c r="N42" s="158"/>
      <c r="O42" s="152"/>
      <c r="P42" s="152"/>
      <c r="Q42" s="152"/>
    </row>
    <row r="43" spans="1:31" ht="51" customHeight="1" x14ac:dyDescent="0.25">
      <c r="A43" s="13">
        <v>4</v>
      </c>
      <c r="B43" s="118" t="s">
        <v>5</v>
      </c>
      <c r="C43" s="118"/>
      <c r="D43" s="118"/>
      <c r="E43" s="136" t="s">
        <v>117</v>
      </c>
      <c r="F43" s="137"/>
      <c r="G43" s="137"/>
      <c r="H43" s="138"/>
      <c r="I43" s="156"/>
      <c r="J43" s="157"/>
      <c r="K43" s="158"/>
      <c r="L43" s="156"/>
      <c r="M43" s="157"/>
      <c r="N43" s="158"/>
      <c r="O43" s="152"/>
      <c r="P43" s="152"/>
      <c r="Q43" s="152"/>
    </row>
    <row r="44" spans="1:31" ht="51" customHeight="1" x14ac:dyDescent="0.25">
      <c r="A44" s="13">
        <v>5</v>
      </c>
      <c r="B44" s="118" t="s">
        <v>6</v>
      </c>
      <c r="C44" s="118"/>
      <c r="D44" s="118"/>
      <c r="E44" s="136" t="s">
        <v>118</v>
      </c>
      <c r="F44" s="137"/>
      <c r="G44" s="137"/>
      <c r="H44" s="138"/>
      <c r="I44" s="156"/>
      <c r="J44" s="157"/>
      <c r="K44" s="158"/>
      <c r="L44" s="156"/>
      <c r="M44" s="157"/>
      <c r="N44" s="158"/>
      <c r="O44" s="152"/>
      <c r="P44" s="152"/>
      <c r="Q44" s="152"/>
    </row>
    <row r="45" spans="1:31" ht="51" customHeight="1" x14ac:dyDescent="0.25">
      <c r="A45" s="13">
        <v>6</v>
      </c>
      <c r="B45" s="118" t="s">
        <v>7</v>
      </c>
      <c r="C45" s="118"/>
      <c r="D45" s="118"/>
      <c r="E45" s="136" t="s">
        <v>119</v>
      </c>
      <c r="F45" s="137"/>
      <c r="G45" s="137"/>
      <c r="H45" s="138"/>
      <c r="I45" s="159"/>
      <c r="J45" s="160"/>
      <c r="K45" s="161"/>
      <c r="L45" s="159"/>
      <c r="M45" s="160"/>
      <c r="N45" s="161"/>
      <c r="O45" s="152"/>
      <c r="P45" s="152"/>
      <c r="Q45" s="152"/>
    </row>
    <row r="46" spans="1:31" ht="36.75" customHeight="1" x14ac:dyDescent="0.25">
      <c r="A46" s="109" t="s">
        <v>40</v>
      </c>
      <c r="B46" s="109"/>
      <c r="C46" s="109"/>
      <c r="D46" s="109"/>
      <c r="E46" s="109"/>
      <c r="F46" s="109"/>
      <c r="G46" s="109"/>
      <c r="H46" s="109"/>
      <c r="I46" s="109"/>
      <c r="J46" s="109"/>
      <c r="K46" s="109"/>
      <c r="L46" s="109"/>
      <c r="M46" s="109"/>
      <c r="N46" s="109"/>
      <c r="O46" s="109"/>
      <c r="P46" s="109"/>
      <c r="Q46" s="109"/>
      <c r="R46" s="42"/>
      <c r="S46" s="42"/>
      <c r="T46" s="42"/>
      <c r="U46" s="42"/>
      <c r="V46" s="42"/>
      <c r="W46" s="42"/>
    </row>
    <row r="47" spans="1:31" ht="66.75" customHeight="1" x14ac:dyDescent="0.25">
      <c r="A47" s="14">
        <v>1</v>
      </c>
      <c r="B47" s="133" t="s">
        <v>2</v>
      </c>
      <c r="C47" s="134"/>
      <c r="D47" s="135"/>
      <c r="E47" s="136" t="s">
        <v>114</v>
      </c>
      <c r="F47" s="137"/>
      <c r="G47" s="137"/>
      <c r="H47" s="138"/>
      <c r="I47" s="156"/>
      <c r="J47" s="157"/>
      <c r="K47" s="158"/>
      <c r="L47" s="176" t="s">
        <v>193</v>
      </c>
      <c r="M47" s="157"/>
      <c r="N47" s="158"/>
      <c r="O47" s="155"/>
      <c r="P47" s="155"/>
      <c r="Q47" s="155"/>
    </row>
    <row r="48" spans="1:31" ht="69.75" customHeight="1" x14ac:dyDescent="0.25">
      <c r="A48" s="13">
        <v>2</v>
      </c>
      <c r="B48" s="84" t="s">
        <v>3</v>
      </c>
      <c r="C48" s="85"/>
      <c r="D48" s="86"/>
      <c r="E48" s="136" t="s">
        <v>115</v>
      </c>
      <c r="F48" s="137"/>
      <c r="G48" s="137"/>
      <c r="H48" s="138"/>
      <c r="I48" s="156"/>
      <c r="J48" s="157"/>
      <c r="K48" s="158"/>
      <c r="L48" s="156"/>
      <c r="M48" s="157"/>
      <c r="N48" s="158"/>
      <c r="O48" s="152"/>
      <c r="P48" s="152"/>
      <c r="Q48" s="152"/>
    </row>
    <row r="49" spans="1:17" ht="72.75" customHeight="1" x14ac:dyDescent="0.25">
      <c r="A49" s="13">
        <v>3</v>
      </c>
      <c r="B49" s="84" t="s">
        <v>4</v>
      </c>
      <c r="C49" s="85"/>
      <c r="D49" s="86"/>
      <c r="E49" s="136" t="s">
        <v>116</v>
      </c>
      <c r="F49" s="137"/>
      <c r="G49" s="137"/>
      <c r="H49" s="138"/>
      <c r="I49" s="156"/>
      <c r="J49" s="157"/>
      <c r="K49" s="158"/>
      <c r="L49" s="156"/>
      <c r="M49" s="157"/>
      <c r="N49" s="158"/>
      <c r="O49" s="152"/>
      <c r="P49" s="152"/>
      <c r="Q49" s="152"/>
    </row>
    <row r="50" spans="1:17" ht="78" customHeight="1" x14ac:dyDescent="0.25">
      <c r="A50" s="13">
        <v>4</v>
      </c>
      <c r="B50" s="118" t="s">
        <v>5</v>
      </c>
      <c r="C50" s="118"/>
      <c r="D50" s="118"/>
      <c r="E50" s="136" t="s">
        <v>117</v>
      </c>
      <c r="F50" s="137"/>
      <c r="G50" s="137"/>
      <c r="H50" s="138"/>
      <c r="I50" s="156"/>
      <c r="J50" s="157"/>
      <c r="K50" s="158"/>
      <c r="L50" s="156"/>
      <c r="M50" s="157"/>
      <c r="N50" s="158"/>
      <c r="O50" s="152"/>
      <c r="P50" s="152"/>
      <c r="Q50" s="152"/>
    </row>
    <row r="51" spans="1:17" ht="71.25" customHeight="1" x14ac:dyDescent="0.25">
      <c r="A51" s="13">
        <v>5</v>
      </c>
      <c r="B51" s="118" t="s">
        <v>6</v>
      </c>
      <c r="C51" s="118"/>
      <c r="D51" s="118"/>
      <c r="E51" s="136" t="s">
        <v>118</v>
      </c>
      <c r="F51" s="137"/>
      <c r="G51" s="137"/>
      <c r="H51" s="138"/>
      <c r="I51" s="156"/>
      <c r="J51" s="157"/>
      <c r="K51" s="158"/>
      <c r="L51" s="156"/>
      <c r="M51" s="157"/>
      <c r="N51" s="158"/>
      <c r="O51" s="152"/>
      <c r="P51" s="152"/>
      <c r="Q51" s="152"/>
    </row>
    <row r="52" spans="1:17" ht="76.5" customHeight="1" x14ac:dyDescent="0.25">
      <c r="A52" s="13">
        <v>6</v>
      </c>
      <c r="B52" s="118" t="s">
        <v>7</v>
      </c>
      <c r="C52" s="118"/>
      <c r="D52" s="118"/>
      <c r="E52" s="136" t="s">
        <v>119</v>
      </c>
      <c r="F52" s="137"/>
      <c r="G52" s="137"/>
      <c r="H52" s="138"/>
      <c r="I52" s="159"/>
      <c r="J52" s="160"/>
      <c r="K52" s="161"/>
      <c r="L52" s="159"/>
      <c r="M52" s="160"/>
      <c r="N52" s="161"/>
      <c r="O52" s="152"/>
      <c r="P52" s="152"/>
      <c r="Q52" s="152"/>
    </row>
    <row r="53" spans="1:17" ht="46.5" customHeight="1" x14ac:dyDescent="0.25"/>
    <row r="54" spans="1:17" ht="34.5" customHeight="1" x14ac:dyDescent="0.25">
      <c r="A54" s="108" t="s">
        <v>42</v>
      </c>
      <c r="B54" s="108"/>
      <c r="C54" s="108"/>
      <c r="D54" s="108"/>
      <c r="E54" s="108"/>
      <c r="F54" s="108"/>
      <c r="G54" s="108"/>
      <c r="H54" s="108"/>
      <c r="I54" s="108"/>
      <c r="J54" s="108"/>
      <c r="K54" s="108"/>
      <c r="L54" s="108"/>
      <c r="M54" s="108"/>
      <c r="N54" s="108"/>
      <c r="O54" s="108"/>
      <c r="P54" s="108"/>
      <c r="Q54" s="108"/>
    </row>
    <row r="55" spans="1:17" ht="26.25" x14ac:dyDescent="0.25">
      <c r="A55" s="2" t="s">
        <v>0</v>
      </c>
      <c r="B55" s="119" t="s">
        <v>1</v>
      </c>
      <c r="C55" s="120"/>
      <c r="D55" s="120"/>
      <c r="E55" s="119" t="s">
        <v>100</v>
      </c>
      <c r="F55" s="120"/>
      <c r="G55" s="120"/>
      <c r="H55" s="120"/>
      <c r="I55" s="119" t="s">
        <v>101</v>
      </c>
      <c r="J55" s="120"/>
      <c r="K55" s="120"/>
      <c r="L55" s="119" t="s">
        <v>13</v>
      </c>
      <c r="M55" s="120"/>
      <c r="N55" s="121"/>
      <c r="O55" s="119" t="s">
        <v>61</v>
      </c>
      <c r="P55" s="120"/>
      <c r="Q55" s="121"/>
    </row>
    <row r="56" spans="1:17" ht="70.5" customHeight="1" x14ac:dyDescent="0.25">
      <c r="A56" s="1">
        <v>1</v>
      </c>
      <c r="B56" s="150" t="s">
        <v>43</v>
      </c>
      <c r="C56" s="150"/>
      <c r="D56" s="150"/>
      <c r="E56" s="111" t="s">
        <v>120</v>
      </c>
      <c r="F56" s="111"/>
      <c r="G56" s="111"/>
      <c r="H56" s="111"/>
      <c r="I56" s="111"/>
      <c r="J56" s="111"/>
      <c r="K56" s="111"/>
      <c r="L56" s="122" t="s">
        <v>190</v>
      </c>
      <c r="M56" s="111"/>
      <c r="N56" s="111"/>
      <c r="O56" s="152"/>
      <c r="P56" s="152"/>
      <c r="Q56" s="152"/>
    </row>
    <row r="57" spans="1:17" ht="74.25" customHeight="1" x14ac:dyDescent="0.25">
      <c r="A57" s="1">
        <v>2</v>
      </c>
      <c r="B57" s="150" t="s">
        <v>44</v>
      </c>
      <c r="C57" s="150"/>
      <c r="D57" s="150"/>
      <c r="E57" s="151" t="s">
        <v>122</v>
      </c>
      <c r="F57" s="111"/>
      <c r="G57" s="111"/>
      <c r="H57" s="111"/>
      <c r="I57" s="152"/>
      <c r="J57" s="152"/>
      <c r="K57" s="152"/>
      <c r="L57" s="122" t="s">
        <v>191</v>
      </c>
      <c r="M57" s="111"/>
      <c r="N57" s="111"/>
      <c r="O57" s="152"/>
      <c r="P57" s="152"/>
      <c r="Q57" s="152"/>
    </row>
    <row r="58" spans="1:17" ht="74.25" customHeight="1" x14ac:dyDescent="0.25">
      <c r="A58" s="1">
        <v>3</v>
      </c>
      <c r="B58" s="150" t="s">
        <v>45</v>
      </c>
      <c r="C58" s="150"/>
      <c r="D58" s="150"/>
      <c r="E58" s="153" t="s">
        <v>123</v>
      </c>
      <c r="F58" s="113"/>
      <c r="G58" s="113"/>
      <c r="H58" s="114"/>
      <c r="I58" s="152"/>
      <c r="J58" s="152"/>
      <c r="K58" s="152"/>
      <c r="L58" s="122" t="s">
        <v>192</v>
      </c>
      <c r="M58" s="111"/>
      <c r="N58" s="111"/>
      <c r="O58" s="152"/>
      <c r="P58" s="152"/>
      <c r="Q58" s="152"/>
    </row>
    <row r="59" spans="1:17" ht="74.25" customHeight="1" x14ac:dyDescent="0.25">
      <c r="A59" s="1">
        <v>4</v>
      </c>
      <c r="B59" s="150" t="s">
        <v>46</v>
      </c>
      <c r="C59" s="150"/>
      <c r="D59" s="150"/>
      <c r="E59" s="111" t="s">
        <v>121</v>
      </c>
      <c r="F59" s="111"/>
      <c r="G59" s="111"/>
      <c r="H59" s="111"/>
      <c r="I59" s="152"/>
      <c r="J59" s="152"/>
      <c r="K59" s="152"/>
      <c r="L59" s="122" t="s">
        <v>187</v>
      </c>
      <c r="M59" s="111"/>
      <c r="N59" s="111"/>
      <c r="O59" s="152"/>
      <c r="P59" s="152"/>
      <c r="Q59" s="152"/>
    </row>
    <row r="60" spans="1:17" ht="73.5" customHeight="1" x14ac:dyDescent="0.25">
      <c r="A60" s="1">
        <v>5</v>
      </c>
      <c r="B60" s="150" t="s">
        <v>47</v>
      </c>
      <c r="C60" s="150"/>
      <c r="D60" s="150"/>
      <c r="E60" s="151" t="s">
        <v>124</v>
      </c>
      <c r="F60" s="111"/>
      <c r="G60" s="111"/>
      <c r="H60" s="111"/>
      <c r="I60" s="152"/>
      <c r="J60" s="152"/>
      <c r="K60" s="152"/>
      <c r="L60" s="122" t="s">
        <v>188</v>
      </c>
      <c r="M60" s="111"/>
      <c r="N60" s="111"/>
      <c r="O60" s="152"/>
      <c r="P60" s="152"/>
      <c r="Q60" s="152"/>
    </row>
    <row r="61" spans="1:17" ht="69" customHeight="1" x14ac:dyDescent="0.25">
      <c r="A61" s="1">
        <v>6</v>
      </c>
      <c r="B61" s="150" t="s">
        <v>48</v>
      </c>
      <c r="C61" s="150"/>
      <c r="D61" s="150"/>
      <c r="E61" s="151" t="s">
        <v>126</v>
      </c>
      <c r="F61" s="111"/>
      <c r="G61" s="111"/>
      <c r="H61" s="111"/>
      <c r="I61" s="152"/>
      <c r="J61" s="152"/>
      <c r="K61" s="152"/>
      <c r="L61" s="122" t="s">
        <v>189</v>
      </c>
      <c r="M61" s="111"/>
      <c r="N61" s="111"/>
      <c r="O61" s="152"/>
      <c r="P61" s="152"/>
      <c r="Q61" s="152"/>
    </row>
    <row r="62" spans="1:17" ht="82.5" customHeight="1" x14ac:dyDescent="0.25">
      <c r="A62" s="1">
        <v>7</v>
      </c>
      <c r="B62" s="150" t="s">
        <v>49</v>
      </c>
      <c r="C62" s="150"/>
      <c r="D62" s="150"/>
      <c r="E62" s="151" t="s">
        <v>125</v>
      </c>
      <c r="F62" s="111"/>
      <c r="G62" s="111"/>
      <c r="H62" s="111"/>
      <c r="I62" s="152"/>
      <c r="J62" s="152"/>
      <c r="K62" s="152"/>
      <c r="L62" s="122" t="s">
        <v>195</v>
      </c>
      <c r="M62" s="111"/>
      <c r="N62" s="111"/>
      <c r="O62" s="152"/>
      <c r="P62" s="152"/>
      <c r="Q62" s="152"/>
    </row>
    <row r="63" spans="1:17" ht="77.25" customHeight="1" x14ac:dyDescent="0.25">
      <c r="A63" s="1">
        <v>8</v>
      </c>
      <c r="B63" s="140" t="s">
        <v>50</v>
      </c>
      <c r="C63" s="141"/>
      <c r="D63" s="142"/>
      <c r="E63" s="143" t="s">
        <v>127</v>
      </c>
      <c r="F63" s="144"/>
      <c r="G63" s="144"/>
      <c r="H63" s="145"/>
      <c r="I63" s="146"/>
      <c r="J63" s="147"/>
      <c r="K63" s="148"/>
      <c r="L63" s="149" t="s">
        <v>196</v>
      </c>
      <c r="M63" s="144"/>
      <c r="N63" s="145"/>
      <c r="O63" s="152"/>
      <c r="P63" s="152"/>
      <c r="Q63" s="152"/>
    </row>
    <row r="64" spans="1:17" ht="77.25" customHeight="1" x14ac:dyDescent="0.25">
      <c r="A64" s="1">
        <v>9</v>
      </c>
      <c r="B64" s="140" t="s">
        <v>51</v>
      </c>
      <c r="C64" s="141"/>
      <c r="D64" s="142"/>
      <c r="E64" s="143" t="s">
        <v>128</v>
      </c>
      <c r="F64" s="144"/>
      <c r="G64" s="144"/>
      <c r="H64" s="145"/>
      <c r="I64" s="146"/>
      <c r="J64" s="147"/>
      <c r="K64" s="148"/>
      <c r="L64" s="149" t="s">
        <v>197</v>
      </c>
      <c r="M64" s="144"/>
      <c r="N64" s="145"/>
      <c r="O64" s="152"/>
      <c r="P64" s="152"/>
      <c r="Q64" s="152"/>
    </row>
    <row r="65" spans="1:23" ht="77.25" customHeight="1" x14ac:dyDescent="0.25">
      <c r="A65" s="1">
        <v>10</v>
      </c>
      <c r="B65" s="165" t="s">
        <v>34</v>
      </c>
      <c r="C65" s="165"/>
      <c r="D65" s="165"/>
      <c r="E65" s="151" t="s">
        <v>129</v>
      </c>
      <c r="F65" s="111"/>
      <c r="G65" s="111"/>
      <c r="H65" s="111"/>
      <c r="I65" s="152"/>
      <c r="J65" s="152"/>
      <c r="K65" s="152"/>
      <c r="L65" s="122" t="s">
        <v>198</v>
      </c>
      <c r="M65" s="111"/>
      <c r="N65" s="111"/>
      <c r="O65" s="152"/>
      <c r="P65" s="152"/>
      <c r="Q65" s="152"/>
    </row>
    <row r="66" spans="1:23" ht="77.25" customHeight="1" x14ac:dyDescent="0.25">
      <c r="A66" s="1">
        <v>11</v>
      </c>
      <c r="B66" s="140" t="s">
        <v>35</v>
      </c>
      <c r="C66" s="141"/>
      <c r="D66" s="142"/>
      <c r="E66" s="143" t="s">
        <v>130</v>
      </c>
      <c r="F66" s="144"/>
      <c r="G66" s="144"/>
      <c r="H66" s="145"/>
      <c r="I66" s="146"/>
      <c r="J66" s="147"/>
      <c r="K66" s="148"/>
      <c r="L66" s="149" t="s">
        <v>199</v>
      </c>
      <c r="M66" s="144"/>
      <c r="N66" s="145"/>
      <c r="O66" s="152"/>
      <c r="P66" s="152"/>
      <c r="Q66" s="152"/>
    </row>
    <row r="67" spans="1:23" ht="77.25" customHeight="1" x14ac:dyDescent="0.25">
      <c r="A67" s="1">
        <v>12</v>
      </c>
      <c r="B67" s="140" t="s">
        <v>36</v>
      </c>
      <c r="C67" s="141"/>
      <c r="D67" s="142"/>
      <c r="E67" s="143" t="s">
        <v>131</v>
      </c>
      <c r="F67" s="144"/>
      <c r="G67" s="144"/>
      <c r="H67" s="145"/>
      <c r="I67" s="146"/>
      <c r="J67" s="147"/>
      <c r="K67" s="148"/>
      <c r="L67" s="122" t="s">
        <v>200</v>
      </c>
      <c r="M67" s="111"/>
      <c r="N67" s="111"/>
      <c r="O67" s="152"/>
      <c r="P67" s="152"/>
      <c r="Q67" s="152"/>
    </row>
    <row r="68" spans="1:23" ht="39.75" customHeight="1" x14ac:dyDescent="0.25">
      <c r="A68" s="4"/>
      <c r="B68" s="7"/>
      <c r="C68" s="7"/>
      <c r="D68" s="7"/>
      <c r="E68" s="3"/>
      <c r="F68" s="5"/>
      <c r="G68" s="5"/>
      <c r="H68" s="5"/>
      <c r="I68" s="6"/>
      <c r="J68" s="6"/>
      <c r="K68" s="6"/>
      <c r="L68" s="11"/>
      <c r="M68" s="10"/>
      <c r="N68" s="10"/>
    </row>
    <row r="69" spans="1:23" ht="37.5" customHeight="1" x14ac:dyDescent="0.25">
      <c r="A69" s="108" t="s">
        <v>14</v>
      </c>
      <c r="B69" s="108"/>
      <c r="C69" s="108"/>
      <c r="D69" s="108"/>
      <c r="E69" s="108"/>
      <c r="F69" s="108"/>
      <c r="G69" s="108"/>
      <c r="H69" s="108"/>
      <c r="I69" s="108"/>
      <c r="J69" s="108"/>
      <c r="K69" s="108"/>
      <c r="L69" s="108"/>
      <c r="M69" s="108"/>
      <c r="N69" s="108"/>
      <c r="O69" s="108"/>
      <c r="P69" s="108"/>
      <c r="Q69" s="108"/>
      <c r="R69" s="108"/>
      <c r="S69" s="108"/>
      <c r="T69" s="108"/>
      <c r="U69" s="108"/>
      <c r="V69" s="108"/>
      <c r="W69" s="108"/>
    </row>
    <row r="70" spans="1:23" ht="26.25" x14ac:dyDescent="0.25">
      <c r="A70" s="2" t="s">
        <v>0</v>
      </c>
      <c r="B70" s="119" t="s">
        <v>1</v>
      </c>
      <c r="C70" s="120"/>
      <c r="D70" s="120"/>
      <c r="E70" s="119" t="s">
        <v>100</v>
      </c>
      <c r="F70" s="120"/>
      <c r="G70" s="120"/>
      <c r="H70" s="120"/>
      <c r="I70" s="119" t="s">
        <v>101</v>
      </c>
      <c r="J70" s="120"/>
      <c r="K70" s="120"/>
      <c r="L70" s="119" t="s">
        <v>13</v>
      </c>
      <c r="M70" s="120"/>
      <c r="N70" s="121"/>
      <c r="O70" s="119" t="s">
        <v>61</v>
      </c>
      <c r="P70" s="120"/>
      <c r="Q70" s="121"/>
      <c r="R70" s="119" t="s">
        <v>161</v>
      </c>
      <c r="S70" s="120"/>
      <c r="T70" s="121"/>
      <c r="U70" s="119" t="s">
        <v>92</v>
      </c>
      <c r="V70" s="120"/>
      <c r="W70" s="121"/>
    </row>
    <row r="71" spans="1:23" ht="36" customHeight="1" x14ac:dyDescent="0.25">
      <c r="A71" s="109" t="s">
        <v>8</v>
      </c>
      <c r="B71" s="109"/>
      <c r="C71" s="109"/>
      <c r="D71" s="109"/>
      <c r="E71" s="109"/>
      <c r="F71" s="109"/>
      <c r="G71" s="109"/>
      <c r="H71" s="109"/>
      <c r="I71" s="109"/>
      <c r="J71" s="109"/>
      <c r="K71" s="109"/>
      <c r="L71" s="109"/>
      <c r="M71" s="109"/>
      <c r="N71" s="109"/>
      <c r="O71" s="109"/>
      <c r="P71" s="109"/>
      <c r="Q71" s="109"/>
      <c r="R71" s="109"/>
      <c r="S71" s="109"/>
      <c r="T71" s="109"/>
      <c r="U71" s="109"/>
      <c r="V71" s="109"/>
      <c r="W71" s="109"/>
    </row>
    <row r="72" spans="1:23" ht="74.25" customHeight="1" x14ac:dyDescent="0.25">
      <c r="A72" s="14">
        <v>1</v>
      </c>
      <c r="B72" s="162" t="s">
        <v>15</v>
      </c>
      <c r="C72" s="163"/>
      <c r="D72" s="164"/>
      <c r="E72" s="167" t="s">
        <v>132</v>
      </c>
      <c r="F72" s="168"/>
      <c r="G72" s="168"/>
      <c r="H72" s="169"/>
      <c r="I72" s="170"/>
      <c r="J72" s="171"/>
      <c r="K72" s="172"/>
      <c r="L72" s="176" t="s">
        <v>202</v>
      </c>
      <c r="M72" s="157"/>
      <c r="N72" s="158"/>
      <c r="O72" s="155"/>
      <c r="P72" s="155"/>
      <c r="Q72" s="155"/>
      <c r="R72" s="122" t="s">
        <v>170</v>
      </c>
      <c r="S72" s="111"/>
      <c r="T72" s="111"/>
      <c r="U72" s="110" t="s">
        <v>92</v>
      </c>
      <c r="V72" s="110"/>
      <c r="W72" s="110"/>
    </row>
    <row r="73" spans="1:23" ht="74.25" customHeight="1" x14ac:dyDescent="0.25">
      <c r="A73" s="13">
        <v>2</v>
      </c>
      <c r="B73" s="165" t="s">
        <v>93</v>
      </c>
      <c r="C73" s="165"/>
      <c r="D73" s="165"/>
      <c r="E73" s="151" t="s">
        <v>133</v>
      </c>
      <c r="F73" s="151"/>
      <c r="G73" s="151"/>
      <c r="H73" s="151"/>
      <c r="I73" s="170"/>
      <c r="J73" s="171"/>
      <c r="K73" s="172"/>
      <c r="L73" s="176"/>
      <c r="M73" s="157"/>
      <c r="N73" s="158"/>
      <c r="O73" s="177"/>
      <c r="P73" s="177"/>
      <c r="Q73" s="177"/>
      <c r="R73" s="122" t="s">
        <v>172</v>
      </c>
      <c r="S73" s="111"/>
      <c r="T73" s="111"/>
      <c r="U73" s="110" t="s">
        <v>92</v>
      </c>
      <c r="V73" s="110"/>
      <c r="W73" s="110"/>
    </row>
    <row r="74" spans="1:23" ht="71.25" customHeight="1" x14ac:dyDescent="0.25">
      <c r="A74" s="13">
        <v>2</v>
      </c>
      <c r="B74" s="166" t="s">
        <v>16</v>
      </c>
      <c r="C74" s="166"/>
      <c r="D74" s="166"/>
      <c r="E74" s="167" t="s">
        <v>134</v>
      </c>
      <c r="F74" s="168"/>
      <c r="G74" s="168"/>
      <c r="H74" s="169"/>
      <c r="I74" s="173"/>
      <c r="J74" s="174"/>
      <c r="K74" s="175"/>
      <c r="L74" s="159"/>
      <c r="M74" s="160"/>
      <c r="N74" s="161"/>
      <c r="O74" s="177"/>
      <c r="P74" s="177"/>
      <c r="Q74" s="177"/>
      <c r="R74" s="122" t="s">
        <v>171</v>
      </c>
      <c r="S74" s="111"/>
      <c r="T74" s="111"/>
      <c r="U74" s="110" t="s">
        <v>92</v>
      </c>
      <c r="V74" s="110"/>
      <c r="W74" s="110"/>
    </row>
    <row r="75" spans="1:23" ht="33" customHeight="1" x14ac:dyDescent="0.25">
      <c r="A75" s="109" t="s">
        <v>9</v>
      </c>
      <c r="B75" s="109"/>
      <c r="C75" s="109"/>
      <c r="D75" s="109"/>
      <c r="E75" s="109"/>
      <c r="F75" s="109"/>
      <c r="G75" s="109"/>
      <c r="H75" s="109"/>
      <c r="I75" s="109"/>
      <c r="J75" s="109"/>
      <c r="K75" s="109"/>
      <c r="L75" s="109"/>
      <c r="M75" s="109"/>
      <c r="N75" s="109"/>
      <c r="O75" s="109"/>
      <c r="P75" s="109"/>
      <c r="Q75" s="109"/>
      <c r="R75" s="43"/>
      <c r="S75" s="43"/>
      <c r="T75" s="43"/>
      <c r="U75" s="43"/>
      <c r="V75" s="43"/>
      <c r="W75" s="43"/>
    </row>
    <row r="76" spans="1:23" ht="55.5" customHeight="1" x14ac:dyDescent="0.25">
      <c r="A76" s="14">
        <v>1</v>
      </c>
      <c r="B76" s="162" t="s">
        <v>15</v>
      </c>
      <c r="C76" s="163"/>
      <c r="D76" s="164"/>
      <c r="E76" s="156" t="s">
        <v>135</v>
      </c>
      <c r="F76" s="157"/>
      <c r="G76" s="157"/>
      <c r="H76" s="158"/>
      <c r="I76" s="170"/>
      <c r="J76" s="171"/>
      <c r="K76" s="172"/>
      <c r="L76" s="176" t="s">
        <v>201</v>
      </c>
      <c r="M76" s="157"/>
      <c r="N76" s="158"/>
      <c r="O76" s="155"/>
      <c r="P76" s="155"/>
      <c r="Q76" s="155"/>
    </row>
    <row r="77" spans="1:23" ht="51.75" customHeight="1" x14ac:dyDescent="0.25">
      <c r="A77" s="13">
        <v>2</v>
      </c>
      <c r="B77" s="84" t="s">
        <v>16</v>
      </c>
      <c r="C77" s="85"/>
      <c r="D77" s="86"/>
      <c r="E77" s="90" t="s">
        <v>136</v>
      </c>
      <c r="F77" s="91"/>
      <c r="G77" s="91"/>
      <c r="H77" s="92"/>
      <c r="I77" s="173"/>
      <c r="J77" s="174"/>
      <c r="K77" s="175"/>
      <c r="L77" s="159"/>
      <c r="M77" s="160"/>
      <c r="N77" s="161"/>
      <c r="O77" s="152"/>
      <c r="P77" s="152"/>
      <c r="Q77" s="152"/>
    </row>
    <row r="78" spans="1:23" ht="39.75" customHeight="1" x14ac:dyDescent="0.25"/>
    <row r="79" spans="1:23" ht="44.25" customHeight="1" x14ac:dyDescent="0.25">
      <c r="A79" s="108" t="s">
        <v>20</v>
      </c>
      <c r="B79" s="108"/>
      <c r="C79" s="108"/>
      <c r="D79" s="108"/>
      <c r="E79" s="108"/>
      <c r="F79" s="108"/>
      <c r="G79" s="108"/>
      <c r="H79" s="108"/>
      <c r="I79" s="108"/>
      <c r="J79" s="108"/>
      <c r="K79" s="108"/>
      <c r="L79" s="108"/>
      <c r="M79" s="108"/>
      <c r="N79" s="108"/>
      <c r="O79" s="108"/>
      <c r="P79" s="108"/>
      <c r="Q79" s="108"/>
      <c r="R79" s="108"/>
      <c r="S79" s="108"/>
      <c r="T79" s="108"/>
      <c r="U79" s="108"/>
      <c r="V79" s="108"/>
      <c r="W79" s="108"/>
    </row>
    <row r="80" spans="1:23" ht="21" customHeight="1" x14ac:dyDescent="0.25">
      <c r="A80" s="45" t="s">
        <v>0</v>
      </c>
      <c r="B80" s="245" t="s">
        <v>1</v>
      </c>
      <c r="C80" s="246"/>
      <c r="D80" s="246"/>
      <c r="E80" s="245" t="s">
        <v>100</v>
      </c>
      <c r="F80" s="246"/>
      <c r="G80" s="246"/>
      <c r="H80" s="246"/>
      <c r="I80" s="245" t="s">
        <v>101</v>
      </c>
      <c r="J80" s="246"/>
      <c r="K80" s="246"/>
      <c r="L80" s="245" t="s">
        <v>13</v>
      </c>
      <c r="M80" s="246"/>
      <c r="N80" s="247"/>
      <c r="O80" s="245" t="s">
        <v>61</v>
      </c>
      <c r="P80" s="246"/>
      <c r="Q80" s="247"/>
      <c r="R80" s="245" t="s">
        <v>161</v>
      </c>
      <c r="S80" s="246"/>
      <c r="T80" s="247"/>
      <c r="U80" s="245" t="s">
        <v>92</v>
      </c>
      <c r="V80" s="246"/>
      <c r="W80" s="247"/>
    </row>
    <row r="81" spans="1:23" ht="31.5" customHeight="1" x14ac:dyDescent="0.25">
      <c r="A81" s="109" t="s">
        <v>8</v>
      </c>
      <c r="B81" s="109"/>
      <c r="C81" s="109"/>
      <c r="D81" s="109"/>
      <c r="E81" s="109"/>
      <c r="F81" s="109"/>
      <c r="G81" s="109"/>
      <c r="H81" s="109"/>
      <c r="I81" s="109"/>
      <c r="J81" s="109"/>
      <c r="K81" s="109"/>
      <c r="L81" s="109"/>
      <c r="M81" s="109"/>
      <c r="N81" s="109"/>
      <c r="O81" s="109"/>
      <c r="P81" s="109"/>
      <c r="Q81" s="109"/>
      <c r="R81" s="109"/>
      <c r="S81" s="109"/>
      <c r="T81" s="109"/>
      <c r="U81" s="109"/>
      <c r="V81" s="109"/>
      <c r="W81" s="109"/>
    </row>
    <row r="82" spans="1:23" ht="77.25" customHeight="1" x14ac:dyDescent="0.25">
      <c r="A82" s="14">
        <v>1</v>
      </c>
      <c r="B82" s="162" t="s">
        <v>18</v>
      </c>
      <c r="C82" s="163"/>
      <c r="D82" s="164"/>
      <c r="E82" s="178" t="s">
        <v>137</v>
      </c>
      <c r="F82" s="179"/>
      <c r="G82" s="179"/>
      <c r="H82" s="180"/>
      <c r="I82" s="181"/>
      <c r="J82" s="181"/>
      <c r="K82" s="181"/>
      <c r="L82" s="186" t="s">
        <v>180</v>
      </c>
      <c r="M82" s="187"/>
      <c r="N82" s="188"/>
      <c r="O82" s="155"/>
      <c r="P82" s="155"/>
      <c r="Q82" s="155"/>
      <c r="R82" s="110" t="s">
        <v>243</v>
      </c>
      <c r="S82" s="111"/>
      <c r="T82" s="111"/>
      <c r="U82" s="110" t="s">
        <v>92</v>
      </c>
      <c r="V82" s="110"/>
      <c r="W82" s="110"/>
    </row>
    <row r="83" spans="1:23" ht="80.25" customHeight="1" x14ac:dyDescent="0.25">
      <c r="A83" s="14">
        <v>3</v>
      </c>
      <c r="B83" s="190" t="s">
        <v>19</v>
      </c>
      <c r="C83" s="191"/>
      <c r="D83" s="192"/>
      <c r="E83" s="178" t="s">
        <v>138</v>
      </c>
      <c r="F83" s="179"/>
      <c r="G83" s="179"/>
      <c r="H83" s="180"/>
      <c r="I83" s="182"/>
      <c r="J83" s="183"/>
      <c r="K83" s="184"/>
      <c r="L83" s="93" t="s">
        <v>211</v>
      </c>
      <c r="M83" s="94"/>
      <c r="N83" s="95"/>
      <c r="O83" s="152"/>
      <c r="P83" s="152"/>
      <c r="Q83" s="152"/>
      <c r="R83" s="244" t="s">
        <v>244</v>
      </c>
      <c r="S83" s="111"/>
      <c r="T83" s="111"/>
      <c r="U83" s="110" t="s">
        <v>92</v>
      </c>
      <c r="V83" s="110"/>
      <c r="W83" s="110"/>
    </row>
    <row r="84" spans="1:23" ht="32.25" customHeight="1" x14ac:dyDescent="0.25">
      <c r="A84" s="248" t="s">
        <v>9</v>
      </c>
      <c r="B84" s="249"/>
      <c r="C84" s="249"/>
      <c r="D84" s="249"/>
      <c r="E84" s="249"/>
      <c r="F84" s="249"/>
      <c r="G84" s="249"/>
      <c r="H84" s="249"/>
      <c r="I84" s="249"/>
      <c r="J84" s="249"/>
      <c r="K84" s="249"/>
      <c r="L84" s="249"/>
      <c r="M84" s="249"/>
      <c r="N84" s="249"/>
      <c r="O84" s="249"/>
      <c r="P84" s="249"/>
      <c r="Q84" s="250"/>
    </row>
    <row r="85" spans="1:23" ht="66" customHeight="1" x14ac:dyDescent="0.25">
      <c r="A85" s="14">
        <v>1</v>
      </c>
      <c r="B85" s="162" t="s">
        <v>18</v>
      </c>
      <c r="C85" s="163"/>
      <c r="D85" s="164"/>
      <c r="E85" s="156" t="s">
        <v>139</v>
      </c>
      <c r="F85" s="157"/>
      <c r="G85" s="157"/>
      <c r="H85" s="158"/>
      <c r="I85" s="185"/>
      <c r="J85" s="185"/>
      <c r="K85" s="185"/>
      <c r="L85" s="189" t="s">
        <v>179</v>
      </c>
      <c r="M85" s="154"/>
      <c r="N85" s="154"/>
      <c r="O85" s="152"/>
      <c r="P85" s="152"/>
      <c r="Q85" s="152"/>
    </row>
    <row r="86" spans="1:23" ht="72.75" customHeight="1" x14ac:dyDescent="0.25">
      <c r="A86" s="13">
        <v>2</v>
      </c>
      <c r="B86" s="84" t="s">
        <v>19</v>
      </c>
      <c r="C86" s="85"/>
      <c r="D86" s="86"/>
      <c r="E86" s="90" t="s">
        <v>140</v>
      </c>
      <c r="F86" s="91"/>
      <c r="G86" s="91"/>
      <c r="H86" s="92"/>
      <c r="I86" s="182"/>
      <c r="J86" s="183"/>
      <c r="K86" s="184"/>
      <c r="L86" s="93" t="s">
        <v>181</v>
      </c>
      <c r="M86" s="91"/>
      <c r="N86" s="92"/>
      <c r="O86" s="152"/>
      <c r="P86" s="152"/>
      <c r="Q86" s="152"/>
    </row>
    <row r="87" spans="1:23" ht="44.25" customHeight="1" x14ac:dyDescent="0.25"/>
    <row r="88" spans="1:23" ht="36" x14ac:dyDescent="0.25">
      <c r="A88" s="108" t="s">
        <v>21</v>
      </c>
      <c r="B88" s="108"/>
      <c r="C88" s="108"/>
      <c r="D88" s="108"/>
      <c r="E88" s="108"/>
      <c r="F88" s="108"/>
      <c r="G88" s="108"/>
      <c r="H88" s="108"/>
      <c r="I88" s="108"/>
      <c r="J88" s="108"/>
      <c r="K88" s="108"/>
      <c r="L88" s="108"/>
      <c r="M88" s="108"/>
      <c r="N88" s="108"/>
      <c r="O88" s="108"/>
      <c r="P88" s="108"/>
      <c r="Q88" s="108"/>
      <c r="R88" s="108"/>
      <c r="S88" s="108"/>
      <c r="T88" s="108"/>
    </row>
    <row r="89" spans="1:23" ht="26.25" x14ac:dyDescent="0.25">
      <c r="A89" s="44" t="s">
        <v>0</v>
      </c>
      <c r="B89" s="106" t="s">
        <v>1</v>
      </c>
      <c r="C89" s="107"/>
      <c r="D89" s="107"/>
      <c r="E89" s="106" t="s">
        <v>100</v>
      </c>
      <c r="F89" s="107"/>
      <c r="G89" s="107"/>
      <c r="H89" s="107"/>
      <c r="I89" s="106" t="s">
        <v>101</v>
      </c>
      <c r="J89" s="107"/>
      <c r="K89" s="107"/>
      <c r="L89" s="106" t="s">
        <v>13</v>
      </c>
      <c r="M89" s="107"/>
      <c r="N89" s="194"/>
      <c r="O89" s="106" t="s">
        <v>61</v>
      </c>
      <c r="P89" s="107"/>
      <c r="Q89" s="194"/>
      <c r="R89" s="106" t="s">
        <v>161</v>
      </c>
      <c r="S89" s="107"/>
      <c r="T89" s="194"/>
    </row>
    <row r="90" spans="1:23" ht="30" customHeight="1" x14ac:dyDescent="0.25">
      <c r="A90" s="109" t="s">
        <v>8</v>
      </c>
      <c r="B90" s="109"/>
      <c r="C90" s="109"/>
      <c r="D90" s="109"/>
      <c r="E90" s="109"/>
      <c r="F90" s="109"/>
      <c r="G90" s="109"/>
      <c r="H90" s="109"/>
      <c r="I90" s="109"/>
      <c r="J90" s="109"/>
      <c r="K90" s="109"/>
      <c r="L90" s="109"/>
      <c r="M90" s="109"/>
      <c r="N90" s="109"/>
      <c r="O90" s="109"/>
      <c r="P90" s="109"/>
      <c r="Q90" s="109"/>
      <c r="R90" s="109"/>
      <c r="S90" s="109"/>
      <c r="T90" s="109"/>
    </row>
    <row r="91" spans="1:23" ht="109.5" customHeight="1" x14ac:dyDescent="0.25">
      <c r="A91" s="9">
        <v>1</v>
      </c>
      <c r="B91" s="162" t="s">
        <v>17</v>
      </c>
      <c r="C91" s="163"/>
      <c r="D91" s="164"/>
      <c r="E91" s="167" t="s">
        <v>141</v>
      </c>
      <c r="F91" s="168"/>
      <c r="G91" s="168"/>
      <c r="H91" s="169"/>
      <c r="I91" s="156"/>
      <c r="J91" s="157"/>
      <c r="K91" s="158"/>
      <c r="L91" s="176" t="s">
        <v>213</v>
      </c>
      <c r="M91" s="157"/>
      <c r="N91" s="158"/>
      <c r="O91" s="155"/>
      <c r="P91" s="155"/>
      <c r="Q91" s="155"/>
      <c r="R91" s="122" t="s">
        <v>173</v>
      </c>
      <c r="S91" s="111"/>
      <c r="T91" s="111"/>
    </row>
    <row r="92" spans="1:23" ht="29.25" customHeight="1" x14ac:dyDescent="0.25">
      <c r="A92" s="109" t="s">
        <v>9</v>
      </c>
      <c r="B92" s="109"/>
      <c r="C92" s="109"/>
      <c r="D92" s="109"/>
      <c r="E92" s="109"/>
      <c r="F92" s="109"/>
      <c r="G92" s="109"/>
      <c r="H92" s="109"/>
      <c r="I92" s="109"/>
      <c r="J92" s="109"/>
      <c r="K92" s="109"/>
      <c r="L92" s="109"/>
      <c r="M92" s="109"/>
      <c r="N92" s="109"/>
      <c r="O92" s="109"/>
      <c r="P92" s="109"/>
      <c r="Q92" s="109"/>
    </row>
    <row r="93" spans="1:23" ht="120" customHeight="1" x14ac:dyDescent="0.25">
      <c r="A93" s="47">
        <v>1</v>
      </c>
      <c r="B93" s="84" t="s">
        <v>17</v>
      </c>
      <c r="C93" s="85"/>
      <c r="D93" s="86"/>
      <c r="E93" s="90" t="s">
        <v>142</v>
      </c>
      <c r="F93" s="91"/>
      <c r="G93" s="91"/>
      <c r="H93" s="92"/>
      <c r="I93" s="90"/>
      <c r="J93" s="91"/>
      <c r="K93" s="92"/>
      <c r="L93" s="189" t="s">
        <v>212</v>
      </c>
      <c r="M93" s="154"/>
      <c r="N93" s="154"/>
      <c r="O93" s="152"/>
      <c r="P93" s="152"/>
      <c r="Q93" s="152"/>
    </row>
    <row r="94" spans="1:23" ht="48" customHeight="1" x14ac:dyDescent="0.25">
      <c r="A94" s="50"/>
      <c r="B94" s="51"/>
      <c r="C94" s="51"/>
      <c r="D94" s="51"/>
      <c r="E94" s="50"/>
      <c r="F94" s="50"/>
      <c r="G94" s="50"/>
      <c r="H94" s="50"/>
      <c r="I94" s="50"/>
      <c r="J94" s="50"/>
      <c r="K94" s="50"/>
      <c r="L94" s="48"/>
      <c r="M94" s="50"/>
      <c r="N94" s="50"/>
      <c r="O94" s="49"/>
      <c r="P94" s="49"/>
      <c r="Q94" s="49"/>
    </row>
    <row r="95" spans="1:23" ht="36" x14ac:dyDescent="0.25">
      <c r="A95" s="193" t="s">
        <v>218</v>
      </c>
      <c r="B95" s="193"/>
      <c r="C95" s="193"/>
      <c r="D95" s="193"/>
      <c r="E95" s="193"/>
      <c r="F95" s="193"/>
      <c r="G95" s="193"/>
      <c r="H95" s="193"/>
      <c r="I95" s="193"/>
      <c r="J95" s="193"/>
      <c r="K95" s="193"/>
      <c r="L95" s="193"/>
      <c r="M95" s="193"/>
      <c r="N95" s="193"/>
      <c r="O95" s="193"/>
      <c r="P95" s="193"/>
      <c r="Q95" s="193"/>
      <c r="R95" s="193"/>
      <c r="S95" s="193"/>
      <c r="T95" s="193"/>
    </row>
    <row r="96" spans="1:23" ht="26.25" x14ac:dyDescent="0.25">
      <c r="A96" s="44" t="s">
        <v>0</v>
      </c>
      <c r="B96" s="106" t="s">
        <v>1</v>
      </c>
      <c r="C96" s="107"/>
      <c r="D96" s="107"/>
      <c r="E96" s="106" t="s">
        <v>100</v>
      </c>
      <c r="F96" s="107"/>
      <c r="G96" s="107"/>
      <c r="H96" s="107"/>
      <c r="I96" s="106" t="s">
        <v>101</v>
      </c>
      <c r="J96" s="107"/>
      <c r="K96" s="107"/>
      <c r="L96" s="106" t="s">
        <v>13</v>
      </c>
      <c r="M96" s="107"/>
      <c r="N96" s="194"/>
      <c r="O96" s="106" t="s">
        <v>61</v>
      </c>
      <c r="P96" s="107"/>
      <c r="Q96" s="194"/>
      <c r="R96" s="106" t="s">
        <v>161</v>
      </c>
      <c r="S96" s="107"/>
      <c r="T96" s="194"/>
    </row>
    <row r="97" spans="1:20" ht="30" customHeight="1" x14ac:dyDescent="0.25">
      <c r="A97" s="109" t="s">
        <v>8</v>
      </c>
      <c r="B97" s="109"/>
      <c r="C97" s="109"/>
      <c r="D97" s="109"/>
      <c r="E97" s="109"/>
      <c r="F97" s="109"/>
      <c r="G97" s="109"/>
      <c r="H97" s="109"/>
      <c r="I97" s="109"/>
      <c r="J97" s="109"/>
      <c r="K97" s="109"/>
      <c r="L97" s="109"/>
      <c r="M97" s="109"/>
      <c r="N97" s="109"/>
      <c r="O97" s="109"/>
      <c r="P97" s="109"/>
      <c r="Q97" s="109"/>
      <c r="R97" s="109"/>
      <c r="S97" s="109"/>
      <c r="T97" s="109"/>
    </row>
    <row r="98" spans="1:20" ht="103.5" customHeight="1" x14ac:dyDescent="0.25">
      <c r="A98" s="9">
        <v>1</v>
      </c>
      <c r="B98" s="209" t="s">
        <v>222</v>
      </c>
      <c r="C98" s="210"/>
      <c r="D98" s="211"/>
      <c r="E98" s="167" t="s">
        <v>225</v>
      </c>
      <c r="F98" s="168"/>
      <c r="G98" s="168"/>
      <c r="H98" s="169"/>
      <c r="I98" s="156"/>
      <c r="J98" s="157"/>
      <c r="K98" s="158"/>
      <c r="L98" s="176" t="s">
        <v>219</v>
      </c>
      <c r="M98" s="157"/>
      <c r="N98" s="158"/>
      <c r="O98" s="81"/>
      <c r="P98" s="81"/>
      <c r="Q98" s="81"/>
      <c r="R98" s="82" t="s">
        <v>229</v>
      </c>
      <c r="S98" s="83"/>
      <c r="T98" s="83"/>
    </row>
    <row r="99" spans="1:20" ht="103.5" customHeight="1" x14ac:dyDescent="0.25">
      <c r="A99" s="13">
        <v>2</v>
      </c>
      <c r="B99" s="84" t="s">
        <v>223</v>
      </c>
      <c r="C99" s="85"/>
      <c r="D99" s="86"/>
      <c r="E99" s="87" t="s">
        <v>226</v>
      </c>
      <c r="F99" s="88"/>
      <c r="G99" s="88"/>
      <c r="H99" s="89"/>
      <c r="I99" s="90"/>
      <c r="J99" s="91"/>
      <c r="K99" s="92"/>
      <c r="L99" s="93" t="s">
        <v>220</v>
      </c>
      <c r="M99" s="94"/>
      <c r="N99" s="95"/>
      <c r="O99" s="96"/>
      <c r="P99" s="97"/>
      <c r="Q99" s="98"/>
      <c r="R99" s="99" t="s">
        <v>229</v>
      </c>
      <c r="S99" s="100"/>
      <c r="T99" s="101"/>
    </row>
    <row r="100" spans="1:20" ht="103.5" customHeight="1" x14ac:dyDescent="0.25">
      <c r="A100" s="9">
        <v>3</v>
      </c>
      <c r="B100" s="84" t="s">
        <v>224</v>
      </c>
      <c r="C100" s="85"/>
      <c r="D100" s="86"/>
      <c r="E100" s="87" t="s">
        <v>227</v>
      </c>
      <c r="F100" s="88"/>
      <c r="G100" s="88"/>
      <c r="H100" s="89"/>
      <c r="I100" s="90"/>
      <c r="J100" s="91"/>
      <c r="K100" s="92"/>
      <c r="L100" s="93" t="s">
        <v>221</v>
      </c>
      <c r="M100" s="94"/>
      <c r="N100" s="95"/>
      <c r="O100" s="96"/>
      <c r="P100" s="97"/>
      <c r="Q100" s="98"/>
      <c r="R100" s="99" t="s">
        <v>245</v>
      </c>
      <c r="S100" s="100"/>
      <c r="T100" s="101"/>
    </row>
    <row r="101" spans="1:20" ht="36" x14ac:dyDescent="0.25">
      <c r="A101" s="108" t="s">
        <v>53</v>
      </c>
      <c r="B101" s="108"/>
      <c r="C101" s="108"/>
      <c r="D101" s="108"/>
      <c r="E101" s="108"/>
      <c r="F101" s="108"/>
      <c r="G101" s="108"/>
      <c r="H101" s="108"/>
      <c r="I101" s="108"/>
      <c r="J101" s="108"/>
      <c r="K101" s="108"/>
      <c r="L101" s="108"/>
      <c r="M101" s="108"/>
      <c r="N101" s="108"/>
      <c r="O101" s="108"/>
      <c r="P101" s="108"/>
      <c r="Q101" s="108"/>
      <c r="R101" s="108"/>
      <c r="S101" s="108"/>
      <c r="T101" s="108"/>
    </row>
    <row r="102" spans="1:20" ht="26.25" x14ac:dyDescent="0.25">
      <c r="A102" s="44" t="s">
        <v>0</v>
      </c>
      <c r="B102" s="106" t="s">
        <v>1</v>
      </c>
      <c r="C102" s="107"/>
      <c r="D102" s="107"/>
      <c r="E102" s="106" t="s">
        <v>100</v>
      </c>
      <c r="F102" s="107"/>
      <c r="G102" s="107"/>
      <c r="H102" s="107"/>
      <c r="I102" s="106" t="s">
        <v>101</v>
      </c>
      <c r="J102" s="107"/>
      <c r="K102" s="107"/>
      <c r="L102" s="106" t="s">
        <v>13</v>
      </c>
      <c r="M102" s="107"/>
      <c r="N102" s="194"/>
      <c r="O102" s="106" t="s">
        <v>61</v>
      </c>
      <c r="P102" s="107"/>
      <c r="Q102" s="194"/>
      <c r="R102" s="106" t="s">
        <v>161</v>
      </c>
      <c r="S102" s="107"/>
      <c r="T102" s="194"/>
    </row>
    <row r="103" spans="1:20" ht="29.25" customHeight="1" x14ac:dyDescent="0.25">
      <c r="A103" s="109" t="s">
        <v>8</v>
      </c>
      <c r="B103" s="109"/>
      <c r="C103" s="109"/>
      <c r="D103" s="109"/>
      <c r="E103" s="109"/>
      <c r="F103" s="109"/>
      <c r="G103" s="109"/>
      <c r="H103" s="109"/>
      <c r="I103" s="109"/>
      <c r="J103" s="109"/>
      <c r="K103" s="109"/>
      <c r="L103" s="109"/>
      <c r="M103" s="109"/>
      <c r="N103" s="109"/>
      <c r="O103" s="109"/>
      <c r="P103" s="109"/>
      <c r="Q103" s="109"/>
      <c r="R103" s="109"/>
      <c r="S103" s="109"/>
      <c r="T103" s="109"/>
    </row>
    <row r="104" spans="1:20" ht="90.75" customHeight="1" x14ac:dyDescent="0.25">
      <c r="A104" s="12">
        <v>1</v>
      </c>
      <c r="B104" s="205" t="s">
        <v>22</v>
      </c>
      <c r="C104" s="205"/>
      <c r="D104" s="205"/>
      <c r="E104" s="206" t="s">
        <v>54</v>
      </c>
      <c r="F104" s="206"/>
      <c r="G104" s="206"/>
      <c r="H104" s="206"/>
      <c r="I104" s="207"/>
      <c r="J104" s="207"/>
      <c r="K104" s="207"/>
      <c r="L104" s="208" t="s">
        <v>215</v>
      </c>
      <c r="M104" s="207"/>
      <c r="N104" s="207"/>
      <c r="O104" s="226"/>
      <c r="P104" s="227"/>
      <c r="Q104" s="228"/>
      <c r="R104" s="110" t="s">
        <v>175</v>
      </c>
      <c r="S104" s="111"/>
      <c r="T104" s="111"/>
    </row>
    <row r="105" spans="1:20" ht="92.25" customHeight="1" x14ac:dyDescent="0.25">
      <c r="A105" s="1">
        <v>2</v>
      </c>
      <c r="B105" s="165" t="s">
        <v>23</v>
      </c>
      <c r="C105" s="165"/>
      <c r="D105" s="165"/>
      <c r="E105" s="151" t="s">
        <v>55</v>
      </c>
      <c r="F105" s="151"/>
      <c r="G105" s="151"/>
      <c r="H105" s="151"/>
      <c r="I105" s="111"/>
      <c r="J105" s="111"/>
      <c r="K105" s="111"/>
      <c r="L105" s="122" t="s">
        <v>216</v>
      </c>
      <c r="M105" s="111"/>
      <c r="N105" s="111"/>
      <c r="O105" s="226"/>
      <c r="P105" s="227"/>
      <c r="Q105" s="228"/>
      <c r="R105" s="110" t="s">
        <v>176</v>
      </c>
      <c r="S105" s="111"/>
      <c r="T105" s="111"/>
    </row>
    <row r="106" spans="1:20" ht="98.25" customHeight="1" x14ac:dyDescent="0.25">
      <c r="A106" s="1">
        <v>3</v>
      </c>
      <c r="B106" s="165" t="s">
        <v>24</v>
      </c>
      <c r="C106" s="165"/>
      <c r="D106" s="165"/>
      <c r="E106" s="151" t="s">
        <v>56</v>
      </c>
      <c r="F106" s="151"/>
      <c r="G106" s="151"/>
      <c r="H106" s="151"/>
      <c r="I106" s="111"/>
      <c r="J106" s="111"/>
      <c r="K106" s="111"/>
      <c r="L106" s="122" t="s">
        <v>217</v>
      </c>
      <c r="M106" s="111"/>
      <c r="N106" s="111"/>
      <c r="O106" s="226"/>
      <c r="P106" s="227"/>
      <c r="Q106" s="228"/>
      <c r="R106" s="110" t="s">
        <v>178</v>
      </c>
      <c r="S106" s="111"/>
      <c r="T106" s="111"/>
    </row>
    <row r="107" spans="1:20" ht="82.5" customHeight="1" x14ac:dyDescent="0.25">
      <c r="A107" s="1">
        <v>4</v>
      </c>
      <c r="B107" s="165" t="s">
        <v>25</v>
      </c>
      <c r="C107" s="165"/>
      <c r="D107" s="165"/>
      <c r="E107" s="151" t="s">
        <v>57</v>
      </c>
      <c r="F107" s="151"/>
      <c r="G107" s="151"/>
      <c r="H107" s="151"/>
      <c r="I107" s="111"/>
      <c r="J107" s="111"/>
      <c r="K107" s="111"/>
      <c r="L107" s="122" t="s">
        <v>214</v>
      </c>
      <c r="M107" s="111"/>
      <c r="N107" s="111"/>
      <c r="O107" s="229"/>
      <c r="P107" s="230"/>
      <c r="Q107" s="231"/>
      <c r="R107" s="110" t="s">
        <v>177</v>
      </c>
      <c r="S107" s="111"/>
      <c r="T107" s="111"/>
    </row>
    <row r="108" spans="1:20" ht="39.75" customHeight="1" x14ac:dyDescent="0.25">
      <c r="A108" s="4"/>
      <c r="B108" s="8"/>
      <c r="C108" s="8"/>
      <c r="D108" s="8"/>
      <c r="E108" s="3"/>
      <c r="F108" s="3"/>
      <c r="G108" s="3"/>
      <c r="H108" s="3"/>
      <c r="I108" s="5"/>
      <c r="J108" s="5"/>
      <c r="K108" s="5"/>
      <c r="L108" s="11"/>
      <c r="M108" s="10"/>
      <c r="N108" s="10"/>
    </row>
    <row r="109" spans="1:20" ht="70.5" customHeight="1" x14ac:dyDescent="0.25">
      <c r="A109" s="257" t="s">
        <v>58</v>
      </c>
      <c r="B109" s="257"/>
      <c r="C109" s="257"/>
      <c r="D109" s="257"/>
      <c r="E109" s="257"/>
      <c r="F109" s="257"/>
      <c r="G109" s="257"/>
      <c r="H109" s="257"/>
      <c r="I109" s="257"/>
      <c r="J109" s="257"/>
      <c r="K109" s="257"/>
      <c r="L109" s="257"/>
      <c r="M109" s="257"/>
      <c r="N109" s="257"/>
      <c r="O109" s="257"/>
      <c r="P109" s="257"/>
      <c r="Q109" s="257"/>
      <c r="R109" s="257"/>
      <c r="S109" s="257"/>
      <c r="T109" s="257"/>
    </row>
    <row r="110" spans="1:20" ht="26.25" x14ac:dyDescent="0.25">
      <c r="A110" s="2" t="s">
        <v>0</v>
      </c>
      <c r="B110" s="119" t="s">
        <v>1</v>
      </c>
      <c r="C110" s="120"/>
      <c r="D110" s="120"/>
      <c r="E110" s="119" t="s">
        <v>100</v>
      </c>
      <c r="F110" s="120"/>
      <c r="G110" s="120"/>
      <c r="H110" s="120"/>
      <c r="I110" s="119" t="s">
        <v>101</v>
      </c>
      <c r="J110" s="120"/>
      <c r="K110" s="120"/>
      <c r="L110" s="119" t="s">
        <v>13</v>
      </c>
      <c r="M110" s="120"/>
      <c r="N110" s="121"/>
      <c r="O110" s="119" t="s">
        <v>61</v>
      </c>
      <c r="P110" s="120"/>
      <c r="Q110" s="121"/>
      <c r="R110" s="119" t="s">
        <v>161</v>
      </c>
      <c r="S110" s="120"/>
      <c r="T110" s="121"/>
    </row>
    <row r="111" spans="1:20" ht="24.75" customHeight="1" x14ac:dyDescent="0.25">
      <c r="A111" s="109" t="s">
        <v>10</v>
      </c>
      <c r="B111" s="109"/>
      <c r="C111" s="109"/>
      <c r="D111" s="109"/>
      <c r="E111" s="109"/>
      <c r="F111" s="109"/>
      <c r="G111" s="109"/>
      <c r="H111" s="109"/>
      <c r="I111" s="109"/>
      <c r="J111" s="109"/>
      <c r="K111" s="109"/>
      <c r="L111" s="109"/>
      <c r="M111" s="109"/>
      <c r="N111" s="109"/>
      <c r="O111" s="109"/>
      <c r="P111" s="109"/>
      <c r="Q111" s="109"/>
      <c r="R111" s="109"/>
      <c r="S111" s="109"/>
      <c r="T111" s="109"/>
    </row>
    <row r="112" spans="1:20" ht="70.5" customHeight="1" x14ac:dyDescent="0.25">
      <c r="A112" s="12">
        <v>1</v>
      </c>
      <c r="B112" s="224" t="s">
        <v>28</v>
      </c>
      <c r="C112" s="224"/>
      <c r="D112" s="224"/>
      <c r="E112" s="225" t="s">
        <v>143</v>
      </c>
      <c r="F112" s="225"/>
      <c r="G112" s="225"/>
      <c r="H112" s="225"/>
      <c r="I112" s="207"/>
      <c r="J112" s="207"/>
      <c r="K112" s="207"/>
      <c r="L112" s="208" t="s">
        <v>207</v>
      </c>
      <c r="M112" s="207"/>
      <c r="N112" s="207"/>
      <c r="O112" s="155"/>
      <c r="P112" s="155"/>
      <c r="Q112" s="155"/>
      <c r="R112" s="112" t="s">
        <v>235</v>
      </c>
      <c r="S112" s="113"/>
      <c r="T112" s="114"/>
    </row>
    <row r="113" spans="1:20" ht="70.5" customHeight="1" x14ac:dyDescent="0.25">
      <c r="A113" s="1">
        <v>2</v>
      </c>
      <c r="B113" s="150" t="s">
        <v>30</v>
      </c>
      <c r="C113" s="150"/>
      <c r="D113" s="150"/>
      <c r="E113" s="139" t="s">
        <v>144</v>
      </c>
      <c r="F113" s="139"/>
      <c r="G113" s="139"/>
      <c r="H113" s="139"/>
      <c r="I113" s="111"/>
      <c r="J113" s="111"/>
      <c r="K113" s="111"/>
      <c r="L113" s="122" t="s">
        <v>208</v>
      </c>
      <c r="M113" s="111"/>
      <c r="N113" s="111"/>
      <c r="O113" s="152"/>
      <c r="P113" s="152"/>
      <c r="Q113" s="152"/>
      <c r="R113" s="110" t="s">
        <v>236</v>
      </c>
      <c r="S113" s="111"/>
      <c r="T113" s="111"/>
    </row>
    <row r="114" spans="1:20" ht="70.5" customHeight="1" x14ac:dyDescent="0.25">
      <c r="A114" s="1">
        <v>3</v>
      </c>
      <c r="B114" s="150" t="s">
        <v>29</v>
      </c>
      <c r="C114" s="150"/>
      <c r="D114" s="150"/>
      <c r="E114" s="139" t="s">
        <v>145</v>
      </c>
      <c r="F114" s="139"/>
      <c r="G114" s="139"/>
      <c r="H114" s="139"/>
      <c r="I114" s="111"/>
      <c r="J114" s="111"/>
      <c r="K114" s="111"/>
      <c r="L114" s="122" t="s">
        <v>209</v>
      </c>
      <c r="M114" s="111"/>
      <c r="N114" s="111"/>
      <c r="O114" s="152"/>
      <c r="P114" s="152"/>
      <c r="Q114" s="152"/>
      <c r="R114" s="112" t="s">
        <v>237</v>
      </c>
      <c r="S114" s="113"/>
      <c r="T114" s="114"/>
    </row>
    <row r="115" spans="1:20" ht="70.5" customHeight="1" x14ac:dyDescent="0.25">
      <c r="A115" s="1">
        <v>4</v>
      </c>
      <c r="B115" s="150" t="s">
        <v>60</v>
      </c>
      <c r="C115" s="150"/>
      <c r="D115" s="150"/>
      <c r="E115" s="139" t="s">
        <v>146</v>
      </c>
      <c r="F115" s="139"/>
      <c r="G115" s="139"/>
      <c r="H115" s="139"/>
      <c r="I115" s="111"/>
      <c r="J115" s="111"/>
      <c r="K115" s="111"/>
      <c r="L115" s="122" t="s">
        <v>210</v>
      </c>
      <c r="M115" s="111"/>
      <c r="N115" s="111"/>
      <c r="O115" s="152"/>
      <c r="P115" s="152"/>
      <c r="Q115" s="152"/>
      <c r="R115" s="110" t="s">
        <v>238</v>
      </c>
      <c r="S115" s="111"/>
      <c r="T115" s="111"/>
    </row>
    <row r="116" spans="1:20" ht="36" customHeight="1" x14ac:dyDescent="0.25">
      <c r="A116" s="4"/>
      <c r="B116" s="7"/>
      <c r="C116" s="7"/>
      <c r="D116" s="7"/>
      <c r="E116" s="3"/>
      <c r="F116" s="3"/>
      <c r="G116" s="3"/>
      <c r="H116" s="3"/>
      <c r="I116" s="5"/>
      <c r="J116" s="5"/>
      <c r="K116" s="5"/>
      <c r="L116" s="11"/>
      <c r="M116" s="10"/>
      <c r="N116" s="10"/>
    </row>
    <row r="117" spans="1:20" ht="77.25" customHeight="1" x14ac:dyDescent="0.25">
      <c r="A117" s="257" t="s">
        <v>59</v>
      </c>
      <c r="B117" s="257"/>
      <c r="C117" s="257"/>
      <c r="D117" s="257"/>
      <c r="E117" s="257"/>
      <c r="F117" s="257"/>
      <c r="G117" s="257"/>
      <c r="H117" s="257"/>
      <c r="I117" s="257"/>
      <c r="J117" s="257"/>
      <c r="K117" s="257"/>
      <c r="L117" s="257"/>
      <c r="M117" s="257"/>
      <c r="N117" s="257"/>
      <c r="O117" s="257"/>
      <c r="P117" s="257"/>
      <c r="Q117" s="257"/>
      <c r="R117" s="257"/>
      <c r="S117" s="257"/>
      <c r="T117" s="257"/>
    </row>
    <row r="118" spans="1:20" ht="26.25" x14ac:dyDescent="0.25">
      <c r="A118" s="44" t="s">
        <v>0</v>
      </c>
      <c r="B118" s="106" t="s">
        <v>1</v>
      </c>
      <c r="C118" s="107"/>
      <c r="D118" s="107"/>
      <c r="E118" s="106" t="s">
        <v>100</v>
      </c>
      <c r="F118" s="107"/>
      <c r="G118" s="107"/>
      <c r="H118" s="107"/>
      <c r="I118" s="106" t="s">
        <v>101</v>
      </c>
      <c r="J118" s="107"/>
      <c r="K118" s="107"/>
      <c r="L118" s="106" t="s">
        <v>13</v>
      </c>
      <c r="M118" s="107"/>
      <c r="N118" s="194"/>
      <c r="O118" s="106" t="s">
        <v>61</v>
      </c>
      <c r="P118" s="107"/>
      <c r="Q118" s="194"/>
      <c r="R118" s="106" t="s">
        <v>161</v>
      </c>
      <c r="S118" s="107"/>
      <c r="T118" s="194"/>
    </row>
    <row r="119" spans="1:20" ht="24.75" customHeight="1" x14ac:dyDescent="0.25">
      <c r="A119" s="109" t="s">
        <v>10</v>
      </c>
      <c r="B119" s="109"/>
      <c r="C119" s="109"/>
      <c r="D119" s="109"/>
      <c r="E119" s="109"/>
      <c r="F119" s="109"/>
      <c r="G119" s="109"/>
      <c r="H119" s="109"/>
      <c r="I119" s="109"/>
      <c r="J119" s="109"/>
      <c r="K119" s="109"/>
      <c r="L119" s="109"/>
      <c r="M119" s="109"/>
      <c r="N119" s="109"/>
      <c r="O119" s="109"/>
      <c r="P119" s="109"/>
      <c r="Q119" s="109"/>
      <c r="R119" s="109"/>
      <c r="S119" s="109"/>
      <c r="T119" s="109"/>
    </row>
    <row r="120" spans="1:20" ht="70.5" customHeight="1" x14ac:dyDescent="0.25">
      <c r="A120" s="12">
        <v>1</v>
      </c>
      <c r="B120" s="224" t="s">
        <v>31</v>
      </c>
      <c r="C120" s="224"/>
      <c r="D120" s="224"/>
      <c r="E120" s="225" t="s">
        <v>147</v>
      </c>
      <c r="F120" s="225"/>
      <c r="G120" s="225"/>
      <c r="H120" s="225"/>
      <c r="I120" s="207"/>
      <c r="J120" s="207"/>
      <c r="K120" s="207"/>
      <c r="L120" s="208" t="s">
        <v>203</v>
      </c>
      <c r="M120" s="207"/>
      <c r="N120" s="207"/>
      <c r="O120" s="155"/>
      <c r="P120" s="155"/>
      <c r="Q120" s="155"/>
      <c r="R120" s="112" t="s">
        <v>239</v>
      </c>
      <c r="S120" s="113"/>
      <c r="T120" s="114"/>
    </row>
    <row r="121" spans="1:20" ht="70.5" customHeight="1" x14ac:dyDescent="0.25">
      <c r="A121" s="1">
        <v>2</v>
      </c>
      <c r="B121" s="150" t="s">
        <v>33</v>
      </c>
      <c r="C121" s="150"/>
      <c r="D121" s="150"/>
      <c r="E121" s="139" t="s">
        <v>148</v>
      </c>
      <c r="F121" s="139"/>
      <c r="G121" s="139"/>
      <c r="H121" s="139"/>
      <c r="I121" s="111"/>
      <c r="J121" s="111"/>
      <c r="K121" s="111"/>
      <c r="L121" s="99" t="s">
        <v>204</v>
      </c>
      <c r="M121" s="100"/>
      <c r="N121" s="101"/>
      <c r="O121" s="152"/>
      <c r="P121" s="152"/>
      <c r="Q121" s="152"/>
      <c r="R121" s="110" t="s">
        <v>240</v>
      </c>
      <c r="S121" s="111"/>
      <c r="T121" s="111"/>
    </row>
    <row r="122" spans="1:20" ht="70.5" customHeight="1" x14ac:dyDescent="0.25">
      <c r="A122" s="1">
        <v>3</v>
      </c>
      <c r="B122" s="150" t="s">
        <v>32</v>
      </c>
      <c r="C122" s="150"/>
      <c r="D122" s="150"/>
      <c r="E122" s="139" t="s">
        <v>149</v>
      </c>
      <c r="F122" s="139"/>
      <c r="G122" s="139"/>
      <c r="H122" s="139"/>
      <c r="I122" s="111"/>
      <c r="J122" s="111"/>
      <c r="K122" s="111"/>
      <c r="L122" s="122" t="s">
        <v>205</v>
      </c>
      <c r="M122" s="111"/>
      <c r="N122" s="111"/>
      <c r="O122" s="152"/>
      <c r="P122" s="152"/>
      <c r="Q122" s="152"/>
      <c r="R122" s="110" t="s">
        <v>241</v>
      </c>
      <c r="S122" s="111"/>
      <c r="T122" s="111"/>
    </row>
    <row r="123" spans="1:20" ht="70.5" customHeight="1" x14ac:dyDescent="0.25">
      <c r="A123" s="1">
        <v>4</v>
      </c>
      <c r="B123" s="150" t="s">
        <v>52</v>
      </c>
      <c r="C123" s="150"/>
      <c r="D123" s="150"/>
      <c r="E123" s="139" t="s">
        <v>150</v>
      </c>
      <c r="F123" s="139"/>
      <c r="G123" s="139"/>
      <c r="H123" s="139"/>
      <c r="I123" s="111"/>
      <c r="J123" s="111"/>
      <c r="K123" s="111"/>
      <c r="L123" s="122" t="s">
        <v>206</v>
      </c>
      <c r="M123" s="111"/>
      <c r="N123" s="111"/>
      <c r="O123" s="152"/>
      <c r="P123" s="152"/>
      <c r="Q123" s="152"/>
      <c r="R123" s="110" t="s">
        <v>242</v>
      </c>
      <c r="S123" s="111"/>
      <c r="T123" s="111"/>
    </row>
    <row r="124" spans="1:20" ht="43.5" customHeight="1" x14ac:dyDescent="0.25"/>
    <row r="125" spans="1:20" ht="44.25" customHeight="1" x14ac:dyDescent="0.25">
      <c r="A125" s="108" t="s">
        <v>38</v>
      </c>
      <c r="B125" s="108"/>
      <c r="C125" s="108"/>
      <c r="D125" s="108"/>
      <c r="E125" s="108"/>
      <c r="F125" s="108"/>
      <c r="G125" s="108"/>
      <c r="H125" s="108"/>
      <c r="I125" s="108"/>
      <c r="J125" s="108"/>
      <c r="K125" s="108"/>
      <c r="L125" s="108"/>
      <c r="M125" s="108"/>
      <c r="N125" s="108"/>
      <c r="O125" s="108"/>
      <c r="P125" s="108"/>
      <c r="Q125" s="108"/>
    </row>
    <row r="126" spans="1:20" ht="21" customHeight="1" x14ac:dyDescent="0.25">
      <c r="A126" s="2" t="s">
        <v>0</v>
      </c>
      <c r="B126" s="119" t="s">
        <v>1</v>
      </c>
      <c r="C126" s="120"/>
      <c r="D126" s="120"/>
      <c r="E126" s="119" t="s">
        <v>100</v>
      </c>
      <c r="F126" s="120"/>
      <c r="G126" s="120"/>
      <c r="H126" s="120"/>
      <c r="I126" s="119" t="s">
        <v>101</v>
      </c>
      <c r="J126" s="120"/>
      <c r="K126" s="120"/>
      <c r="L126" s="119" t="s">
        <v>13</v>
      </c>
      <c r="M126" s="120"/>
      <c r="N126" s="121"/>
      <c r="O126" s="119" t="s">
        <v>61</v>
      </c>
      <c r="P126" s="120"/>
      <c r="Q126" s="121"/>
    </row>
    <row r="127" spans="1:20" ht="31.5" customHeight="1" x14ac:dyDescent="0.25">
      <c r="A127" s="109" t="s">
        <v>8</v>
      </c>
      <c r="B127" s="109"/>
      <c r="C127" s="109"/>
      <c r="D127" s="109"/>
      <c r="E127" s="109"/>
      <c r="F127" s="109"/>
      <c r="G127" s="109"/>
      <c r="H127" s="109"/>
      <c r="I127" s="109"/>
      <c r="J127" s="109"/>
      <c r="K127" s="109"/>
      <c r="L127" s="109"/>
      <c r="M127" s="109"/>
      <c r="N127" s="109"/>
      <c r="O127" s="109"/>
      <c r="P127" s="109"/>
      <c r="Q127" s="109"/>
    </row>
    <row r="128" spans="1:20" ht="77.25" customHeight="1" x14ac:dyDescent="0.25">
      <c r="A128" s="12">
        <v>1</v>
      </c>
      <c r="B128" s="212" t="s">
        <v>26</v>
      </c>
      <c r="C128" s="213"/>
      <c r="D128" s="214"/>
      <c r="E128" s="215" t="s">
        <v>151</v>
      </c>
      <c r="F128" s="216"/>
      <c r="G128" s="216"/>
      <c r="H128" s="217"/>
      <c r="I128" s="218"/>
      <c r="J128" s="219"/>
      <c r="K128" s="220"/>
      <c r="L128" s="221" t="s">
        <v>246</v>
      </c>
      <c r="M128" s="222"/>
      <c r="N128" s="223"/>
      <c r="O128" s="152"/>
      <c r="P128" s="152"/>
      <c r="Q128" s="152"/>
      <c r="R128" s="46"/>
    </row>
    <row r="129" spans="1:20" ht="77.25" customHeight="1" x14ac:dyDescent="0.25">
      <c r="A129" s="1">
        <v>2</v>
      </c>
      <c r="B129" s="197" t="s">
        <v>18</v>
      </c>
      <c r="C129" s="198"/>
      <c r="D129" s="199"/>
      <c r="E129" s="153" t="s">
        <v>152</v>
      </c>
      <c r="F129" s="200"/>
      <c r="G129" s="200"/>
      <c r="H129" s="201"/>
      <c r="I129" s="202"/>
      <c r="J129" s="203"/>
      <c r="K129" s="204"/>
      <c r="L129" s="99" t="s">
        <v>247</v>
      </c>
      <c r="M129" s="113"/>
      <c r="N129" s="114"/>
      <c r="O129" s="152"/>
      <c r="P129" s="152"/>
      <c r="Q129" s="152"/>
      <c r="R129" s="46"/>
    </row>
    <row r="130" spans="1:20" ht="51" customHeight="1" x14ac:dyDescent="0.25"/>
    <row r="131" spans="1:20" ht="44.25" customHeight="1" x14ac:dyDescent="0.25">
      <c r="A131" s="108" t="s">
        <v>37</v>
      </c>
      <c r="B131" s="108"/>
      <c r="C131" s="108"/>
      <c r="D131" s="108"/>
      <c r="E131" s="108"/>
      <c r="F131" s="108"/>
      <c r="G131" s="108"/>
      <c r="H131" s="108"/>
      <c r="I131" s="108"/>
      <c r="J131" s="108"/>
      <c r="K131" s="108"/>
      <c r="L131" s="108"/>
      <c r="M131" s="108"/>
      <c r="N131" s="108"/>
      <c r="O131" s="108"/>
      <c r="P131" s="108"/>
      <c r="Q131" s="108"/>
    </row>
    <row r="132" spans="1:20" ht="21" customHeight="1" x14ac:dyDescent="0.25">
      <c r="A132" s="2" t="s">
        <v>0</v>
      </c>
      <c r="B132" s="119" t="s">
        <v>1</v>
      </c>
      <c r="C132" s="120"/>
      <c r="D132" s="120"/>
      <c r="E132" s="119" t="s">
        <v>100</v>
      </c>
      <c r="F132" s="120"/>
      <c r="G132" s="120"/>
      <c r="H132" s="120"/>
      <c r="I132" s="119" t="s">
        <v>101</v>
      </c>
      <c r="J132" s="120"/>
      <c r="K132" s="120"/>
      <c r="L132" s="119" t="s">
        <v>13</v>
      </c>
      <c r="M132" s="120"/>
      <c r="N132" s="121"/>
      <c r="O132" s="119" t="s">
        <v>61</v>
      </c>
      <c r="P132" s="120"/>
      <c r="Q132" s="121"/>
      <c r="R132" s="46"/>
    </row>
    <row r="133" spans="1:20" ht="31.5" customHeight="1" x14ac:dyDescent="0.25">
      <c r="A133" s="109" t="s">
        <v>8</v>
      </c>
      <c r="B133" s="109"/>
      <c r="C133" s="109"/>
      <c r="D133" s="109"/>
      <c r="E133" s="109"/>
      <c r="F133" s="109"/>
      <c r="G133" s="109"/>
      <c r="H133" s="109"/>
      <c r="I133" s="109"/>
      <c r="J133" s="109"/>
      <c r="K133" s="109"/>
      <c r="L133" s="109"/>
      <c r="M133" s="109"/>
      <c r="N133" s="109"/>
      <c r="O133" s="109"/>
      <c r="P133" s="109"/>
      <c r="Q133" s="109"/>
      <c r="R133" s="46"/>
    </row>
    <row r="134" spans="1:20" ht="77.25" customHeight="1" x14ac:dyDescent="0.25">
      <c r="A134" s="12">
        <v>1</v>
      </c>
      <c r="B134" s="212" t="s">
        <v>26</v>
      </c>
      <c r="C134" s="213"/>
      <c r="D134" s="214"/>
      <c r="E134" s="215" t="s">
        <v>153</v>
      </c>
      <c r="F134" s="216"/>
      <c r="G134" s="216"/>
      <c r="H134" s="217"/>
      <c r="I134" s="218"/>
      <c r="J134" s="219"/>
      <c r="K134" s="220"/>
      <c r="L134" s="122" t="s">
        <v>248</v>
      </c>
      <c r="M134" s="111"/>
      <c r="N134" s="111"/>
      <c r="O134" s="152"/>
      <c r="P134" s="152"/>
      <c r="Q134" s="152"/>
    </row>
    <row r="135" spans="1:20" ht="51" customHeight="1" x14ac:dyDescent="0.25">
      <c r="A135" s="4"/>
      <c r="B135" s="8"/>
      <c r="C135" s="8"/>
      <c r="D135" s="8"/>
      <c r="E135" s="5"/>
      <c r="F135" s="5"/>
      <c r="G135" s="5"/>
      <c r="H135" s="5"/>
      <c r="I135" s="6"/>
      <c r="J135" s="6"/>
      <c r="K135" s="6"/>
      <c r="L135" s="11"/>
      <c r="M135" s="10"/>
      <c r="N135" s="10"/>
    </row>
    <row r="136" spans="1:20" ht="44.25" customHeight="1" x14ac:dyDescent="0.25">
      <c r="A136" s="108" t="s">
        <v>39</v>
      </c>
      <c r="B136" s="108"/>
      <c r="C136" s="108"/>
      <c r="D136" s="108"/>
      <c r="E136" s="108"/>
      <c r="F136" s="108"/>
      <c r="G136" s="108"/>
      <c r="H136" s="108"/>
      <c r="I136" s="108"/>
      <c r="J136" s="108"/>
      <c r="K136" s="108"/>
      <c r="L136" s="108"/>
      <c r="M136" s="108"/>
      <c r="N136" s="108"/>
      <c r="O136" s="108"/>
      <c r="P136" s="108"/>
      <c r="Q136" s="108"/>
    </row>
    <row r="137" spans="1:20" ht="21" customHeight="1" x14ac:dyDescent="0.25">
      <c r="A137" s="2" t="s">
        <v>0</v>
      </c>
      <c r="B137" s="119" t="s">
        <v>1</v>
      </c>
      <c r="C137" s="120"/>
      <c r="D137" s="120"/>
      <c r="E137" s="119" t="s">
        <v>100</v>
      </c>
      <c r="F137" s="120"/>
      <c r="G137" s="120"/>
      <c r="H137" s="120"/>
      <c r="I137" s="119" t="s">
        <v>101</v>
      </c>
      <c r="J137" s="120"/>
      <c r="K137" s="120"/>
      <c r="L137" s="119" t="s">
        <v>13</v>
      </c>
      <c r="M137" s="120"/>
      <c r="N137" s="121"/>
      <c r="O137" s="119" t="s">
        <v>61</v>
      </c>
      <c r="P137" s="120"/>
      <c r="Q137" s="121"/>
    </row>
    <row r="138" spans="1:20" ht="31.5" customHeight="1" x14ac:dyDescent="0.25">
      <c r="A138" s="233" t="s">
        <v>8</v>
      </c>
      <c r="B138" s="233"/>
      <c r="C138" s="233"/>
      <c r="D138" s="233"/>
      <c r="E138" s="233"/>
      <c r="F138" s="233"/>
      <c r="G138" s="233"/>
      <c r="H138" s="233"/>
      <c r="I138" s="233"/>
      <c r="J138" s="233"/>
      <c r="K138" s="233"/>
      <c r="L138" s="233"/>
      <c r="M138" s="233"/>
      <c r="N138" s="233"/>
      <c r="O138" s="233"/>
      <c r="P138" s="233"/>
      <c r="Q138" s="233"/>
    </row>
    <row r="139" spans="1:20" ht="77.25" customHeight="1" x14ac:dyDescent="0.25">
      <c r="A139" s="1">
        <v>1</v>
      </c>
      <c r="B139" s="165" t="s">
        <v>27</v>
      </c>
      <c r="C139" s="165"/>
      <c r="D139" s="165"/>
      <c r="E139" s="111" t="s">
        <v>154</v>
      </c>
      <c r="F139" s="111"/>
      <c r="G139" s="111"/>
      <c r="H139" s="111"/>
      <c r="I139" s="232"/>
      <c r="J139" s="232"/>
      <c r="K139" s="232"/>
      <c r="L139" s="122" t="s">
        <v>249</v>
      </c>
      <c r="M139" s="111"/>
      <c r="N139" s="111"/>
      <c r="O139" s="152"/>
      <c r="P139" s="152"/>
      <c r="Q139" s="152"/>
    </row>
    <row r="140" spans="1:20" ht="39.75" customHeight="1" x14ac:dyDescent="0.25"/>
    <row r="141" spans="1:20" ht="36" x14ac:dyDescent="0.25">
      <c r="A141" s="108" t="s">
        <v>63</v>
      </c>
      <c r="B141" s="108"/>
      <c r="C141" s="108"/>
      <c r="D141" s="108"/>
      <c r="E141" s="108"/>
      <c r="F141" s="108"/>
      <c r="G141" s="108"/>
      <c r="H141" s="108"/>
      <c r="I141" s="108"/>
      <c r="J141" s="108"/>
      <c r="K141" s="108"/>
      <c r="L141" s="108"/>
      <c r="M141" s="108"/>
      <c r="N141" s="108"/>
      <c r="O141" s="108"/>
      <c r="P141" s="108"/>
      <c r="Q141" s="108"/>
      <c r="R141" s="108"/>
      <c r="S141" s="108"/>
      <c r="T141" s="108"/>
    </row>
    <row r="142" spans="1:20" ht="26.25" x14ac:dyDescent="0.25">
      <c r="A142" s="2" t="s">
        <v>0</v>
      </c>
      <c r="B142" s="119" t="s">
        <v>1</v>
      </c>
      <c r="C142" s="120"/>
      <c r="D142" s="120"/>
      <c r="E142" s="119" t="s">
        <v>100</v>
      </c>
      <c r="F142" s="120"/>
      <c r="G142" s="120"/>
      <c r="H142" s="120"/>
      <c r="I142" s="119" t="s">
        <v>101</v>
      </c>
      <c r="J142" s="120"/>
      <c r="K142" s="120"/>
      <c r="L142" s="119" t="s">
        <v>13</v>
      </c>
      <c r="M142" s="120"/>
      <c r="N142" s="121"/>
      <c r="O142" s="119" t="s">
        <v>61</v>
      </c>
      <c r="P142" s="120"/>
      <c r="Q142" s="121"/>
      <c r="R142" s="119" t="s">
        <v>161</v>
      </c>
      <c r="S142" s="120"/>
      <c r="T142" s="121"/>
    </row>
    <row r="143" spans="1:20" ht="26.25" x14ac:dyDescent="0.25">
      <c r="A143" s="109" t="s">
        <v>8</v>
      </c>
      <c r="B143" s="109"/>
      <c r="C143" s="109"/>
      <c r="D143" s="109"/>
      <c r="E143" s="109"/>
      <c r="F143" s="109"/>
      <c r="G143" s="109"/>
      <c r="H143" s="109"/>
      <c r="I143" s="109"/>
      <c r="J143" s="109"/>
      <c r="K143" s="109"/>
      <c r="L143" s="109"/>
      <c r="M143" s="109"/>
      <c r="N143" s="109"/>
      <c r="O143" s="109"/>
      <c r="P143" s="109"/>
      <c r="Q143" s="109"/>
      <c r="R143" s="109"/>
      <c r="S143" s="109"/>
      <c r="T143" s="109"/>
    </row>
    <row r="144" spans="1:20" ht="130.5" customHeight="1" x14ac:dyDescent="0.25">
      <c r="A144" s="12">
        <v>1</v>
      </c>
      <c r="B144" s="205" t="s">
        <v>64</v>
      </c>
      <c r="C144" s="205"/>
      <c r="D144" s="205"/>
      <c r="E144" s="206" t="s">
        <v>155</v>
      </c>
      <c r="F144" s="206"/>
      <c r="G144" s="206"/>
      <c r="H144" s="206"/>
      <c r="I144" s="258"/>
      <c r="J144" s="258"/>
      <c r="K144" s="258"/>
      <c r="L144" s="208" t="s">
        <v>182</v>
      </c>
      <c r="M144" s="207"/>
      <c r="N144" s="207"/>
      <c r="O144" s="226"/>
      <c r="P144" s="227"/>
      <c r="Q144" s="228"/>
      <c r="R144" s="251" t="s">
        <v>174</v>
      </c>
      <c r="S144" s="252"/>
      <c r="T144" s="253"/>
    </row>
    <row r="145" spans="1:20" ht="132.75" customHeight="1" x14ac:dyDescent="0.25">
      <c r="A145" s="1">
        <v>2</v>
      </c>
      <c r="B145" s="165" t="s">
        <v>65</v>
      </c>
      <c r="C145" s="165"/>
      <c r="D145" s="165"/>
      <c r="E145" s="151" t="s">
        <v>156</v>
      </c>
      <c r="F145" s="151"/>
      <c r="G145" s="151"/>
      <c r="H145" s="151"/>
      <c r="I145" s="232"/>
      <c r="J145" s="232"/>
      <c r="K145" s="232"/>
      <c r="L145" s="122" t="s">
        <v>183</v>
      </c>
      <c r="M145" s="111"/>
      <c r="N145" s="111"/>
      <c r="O145" s="226"/>
      <c r="P145" s="227"/>
      <c r="Q145" s="228"/>
      <c r="R145" s="215"/>
      <c r="S145" s="216"/>
      <c r="T145" s="217"/>
    </row>
    <row r="146" spans="1:20" ht="147" customHeight="1" x14ac:dyDescent="0.25">
      <c r="A146" s="1">
        <v>3</v>
      </c>
      <c r="B146" s="165" t="s">
        <v>228</v>
      </c>
      <c r="C146" s="165"/>
      <c r="D146" s="165"/>
      <c r="E146" s="151" t="s">
        <v>157</v>
      </c>
      <c r="F146" s="151"/>
      <c r="G146" s="151"/>
      <c r="H146" s="151"/>
      <c r="I146" s="232"/>
      <c r="J146" s="232"/>
      <c r="K146" s="232"/>
      <c r="L146" s="122" t="s">
        <v>184</v>
      </c>
      <c r="M146" s="111"/>
      <c r="N146" s="111"/>
      <c r="O146" s="229"/>
      <c r="P146" s="230"/>
      <c r="Q146" s="231"/>
      <c r="R146" s="254"/>
      <c r="S146" s="255"/>
      <c r="T146" s="256"/>
    </row>
    <row r="149" spans="1:20" ht="37.5" customHeight="1" x14ac:dyDescent="0.25"/>
    <row r="150" spans="1:20" ht="22.5" customHeight="1" x14ac:dyDescent="0.25">
      <c r="B150" s="80" t="s">
        <v>158</v>
      </c>
      <c r="C150" s="80"/>
      <c r="D150" s="80"/>
      <c r="E150" s="80"/>
      <c r="F150" s="80"/>
      <c r="G150" s="80"/>
      <c r="H150" s="80"/>
      <c r="I150" s="80"/>
      <c r="J150" s="80"/>
      <c r="K150" s="80"/>
      <c r="L150" s="80"/>
      <c r="M150" s="80"/>
      <c r="N150" s="80"/>
      <c r="O150" s="80"/>
      <c r="P150" s="80"/>
      <c r="Q150" s="80"/>
      <c r="R150" s="80"/>
      <c r="S150" s="80"/>
    </row>
    <row r="151" spans="1:20" ht="21" customHeight="1" x14ac:dyDescent="0.25">
      <c r="B151" s="79" t="s">
        <v>159</v>
      </c>
      <c r="C151" s="79"/>
      <c r="D151" s="79"/>
      <c r="E151" s="79"/>
      <c r="F151" s="79"/>
      <c r="G151" s="79"/>
      <c r="H151" s="79"/>
      <c r="I151" s="79" t="s">
        <v>160</v>
      </c>
      <c r="J151" s="79"/>
      <c r="K151" s="79"/>
      <c r="L151" s="79"/>
      <c r="M151" s="79"/>
      <c r="N151" s="79"/>
      <c r="O151" s="79"/>
      <c r="P151" s="79"/>
      <c r="Q151" s="79"/>
      <c r="R151" s="79"/>
      <c r="S151" s="79"/>
    </row>
    <row r="152" spans="1:20" ht="183" customHeight="1" x14ac:dyDescent="0.25">
      <c r="B152" s="234" t="s">
        <v>233</v>
      </c>
      <c r="C152" s="235"/>
      <c r="D152" s="235"/>
      <c r="E152" s="235"/>
      <c r="F152" s="235"/>
      <c r="G152" s="235"/>
      <c r="H152" s="236"/>
      <c r="I152" s="78" t="s">
        <v>234</v>
      </c>
      <c r="J152" s="78"/>
      <c r="K152" s="78"/>
      <c r="L152" s="78"/>
      <c r="M152" s="78"/>
      <c r="N152" s="78"/>
      <c r="O152" s="78"/>
      <c r="P152" s="78"/>
      <c r="Q152" s="78"/>
      <c r="R152" s="78"/>
      <c r="S152" s="78"/>
    </row>
    <row r="154" spans="1:20" ht="23.25" x14ac:dyDescent="0.25">
      <c r="B154" s="80" t="s">
        <v>66</v>
      </c>
      <c r="C154" s="80"/>
      <c r="D154" s="80"/>
      <c r="E154" s="80"/>
      <c r="F154" s="80"/>
      <c r="G154" s="80"/>
      <c r="H154" s="80"/>
      <c r="I154" s="80"/>
      <c r="J154" s="80"/>
      <c r="K154" s="80"/>
      <c r="L154" s="80"/>
      <c r="M154" s="80"/>
      <c r="N154" s="80"/>
      <c r="O154" s="80"/>
      <c r="P154" s="80"/>
      <c r="Q154" s="80"/>
      <c r="R154" s="80"/>
      <c r="S154" s="80"/>
    </row>
    <row r="155" spans="1:20" ht="18.75" x14ac:dyDescent="0.25">
      <c r="B155" s="102" t="s">
        <v>67</v>
      </c>
      <c r="C155" s="102"/>
      <c r="D155" s="102"/>
      <c r="E155" s="102"/>
      <c r="F155" s="102"/>
      <c r="G155" s="102"/>
      <c r="H155" s="102"/>
      <c r="I155" s="79" t="s">
        <v>68</v>
      </c>
      <c r="J155" s="79"/>
      <c r="K155" s="79"/>
      <c r="L155" s="79"/>
      <c r="M155" s="79"/>
      <c r="N155" s="79"/>
      <c r="O155" s="79"/>
      <c r="P155" s="79"/>
      <c r="Q155" s="79"/>
      <c r="R155" s="79"/>
      <c r="S155" s="79"/>
    </row>
    <row r="156" spans="1:20" ht="175.5" customHeight="1" x14ac:dyDescent="0.25">
      <c r="B156" s="103" t="s">
        <v>231</v>
      </c>
      <c r="C156" s="104"/>
      <c r="D156" s="104"/>
      <c r="E156" s="104"/>
      <c r="F156" s="104"/>
      <c r="G156" s="104"/>
      <c r="H156" s="105"/>
      <c r="I156" s="78" t="s">
        <v>232</v>
      </c>
      <c r="J156" s="78"/>
      <c r="K156" s="78"/>
      <c r="L156" s="78"/>
      <c r="M156" s="78"/>
      <c r="N156" s="78"/>
      <c r="O156" s="78"/>
      <c r="P156" s="78"/>
      <c r="Q156" s="78"/>
      <c r="R156" s="78"/>
      <c r="S156" s="78"/>
    </row>
  </sheetData>
  <mergeCells count="452">
    <mergeCell ref="B2:S2"/>
    <mergeCell ref="B3:H3"/>
    <mergeCell ref="I3:S3"/>
    <mergeCell ref="B4:H4"/>
    <mergeCell ref="I4:S4"/>
    <mergeCell ref="B6:S6"/>
    <mergeCell ref="B7:H7"/>
    <mergeCell ref="I7:S7"/>
    <mergeCell ref="B8:H8"/>
    <mergeCell ref="I8:S8"/>
    <mergeCell ref="R112:T112"/>
    <mergeCell ref="R113:T113"/>
    <mergeCell ref="R114:T114"/>
    <mergeCell ref="R115:T115"/>
    <mergeCell ref="R120:T120"/>
    <mergeCell ref="R121:T121"/>
    <mergeCell ref="R122:T122"/>
    <mergeCell ref="R123:T123"/>
    <mergeCell ref="A143:T143"/>
    <mergeCell ref="A119:T119"/>
    <mergeCell ref="R142:T142"/>
    <mergeCell ref="A141:T141"/>
    <mergeCell ref="O142:Q142"/>
    <mergeCell ref="O126:Q126"/>
    <mergeCell ref="A125:Q125"/>
    <mergeCell ref="A127:Q127"/>
    <mergeCell ref="L139:N139"/>
    <mergeCell ref="B132:D132"/>
    <mergeCell ref="E132:H132"/>
    <mergeCell ref="I132:K132"/>
    <mergeCell ref="L132:N132"/>
    <mergeCell ref="I134:K134"/>
    <mergeCell ref="L134:N134"/>
    <mergeCell ref="B137:D137"/>
    <mergeCell ref="R144:T146"/>
    <mergeCell ref="R89:T89"/>
    <mergeCell ref="A90:T90"/>
    <mergeCell ref="A101:T101"/>
    <mergeCell ref="R102:T102"/>
    <mergeCell ref="A103:T103"/>
    <mergeCell ref="A109:T109"/>
    <mergeCell ref="R110:T110"/>
    <mergeCell ref="A111:T111"/>
    <mergeCell ref="A117:T117"/>
    <mergeCell ref="B146:D146"/>
    <mergeCell ref="E146:H146"/>
    <mergeCell ref="I146:K146"/>
    <mergeCell ref="L146:N146"/>
    <mergeCell ref="O144:Q146"/>
    <mergeCell ref="B142:D142"/>
    <mergeCell ref="E142:H142"/>
    <mergeCell ref="I142:K142"/>
    <mergeCell ref="L142:N142"/>
    <mergeCell ref="B144:D144"/>
    <mergeCell ref="E144:H144"/>
    <mergeCell ref="I144:K144"/>
    <mergeCell ref="L144:N144"/>
    <mergeCell ref="R118:T118"/>
    <mergeCell ref="A79:W79"/>
    <mergeCell ref="A81:W81"/>
    <mergeCell ref="R80:T80"/>
    <mergeCell ref="U80:W80"/>
    <mergeCell ref="U82:W82"/>
    <mergeCell ref="U83:W83"/>
    <mergeCell ref="A88:T88"/>
    <mergeCell ref="O82:Q83"/>
    <mergeCell ref="A84:Q84"/>
    <mergeCell ref="O85:Q86"/>
    <mergeCell ref="O80:Q80"/>
    <mergeCell ref="B80:D80"/>
    <mergeCell ref="E80:H80"/>
    <mergeCell ref="I80:K80"/>
    <mergeCell ref="L80:N80"/>
    <mergeCell ref="B82:D82"/>
    <mergeCell ref="E82:H82"/>
    <mergeCell ref="B152:H152"/>
    <mergeCell ref="B151:H151"/>
    <mergeCell ref="R10:T10"/>
    <mergeCell ref="R26:T31"/>
    <mergeCell ref="R19:T24"/>
    <mergeCell ref="B73:D73"/>
    <mergeCell ref="E73:H73"/>
    <mergeCell ref="R83:T83"/>
    <mergeCell ref="R82:T82"/>
    <mergeCell ref="R91:T91"/>
    <mergeCell ref="R104:T104"/>
    <mergeCell ref="R105:T105"/>
    <mergeCell ref="R106:T106"/>
    <mergeCell ref="R107:T107"/>
    <mergeCell ref="B145:D145"/>
    <mergeCell ref="E145:H145"/>
    <mergeCell ref="I145:K145"/>
    <mergeCell ref="L145:N145"/>
    <mergeCell ref="O132:Q132"/>
    <mergeCell ref="L65:N65"/>
    <mergeCell ref="B58:D58"/>
    <mergeCell ref="E57:H57"/>
    <mergeCell ref="B134:D134"/>
    <mergeCell ref="E134:H134"/>
    <mergeCell ref="E137:H137"/>
    <mergeCell ref="I137:K137"/>
    <mergeCell ref="L137:N137"/>
    <mergeCell ref="B139:D139"/>
    <mergeCell ref="E139:H139"/>
    <mergeCell ref="I139:K139"/>
    <mergeCell ref="A133:Q133"/>
    <mergeCell ref="O134:Q134"/>
    <mergeCell ref="O137:Q137"/>
    <mergeCell ref="A136:Q136"/>
    <mergeCell ref="A138:Q138"/>
    <mergeCell ref="O139:Q139"/>
    <mergeCell ref="O102:Q102"/>
    <mergeCell ref="O104:Q107"/>
    <mergeCell ref="O110:Q110"/>
    <mergeCell ref="O112:Q115"/>
    <mergeCell ref="B126:D126"/>
    <mergeCell ref="E126:H126"/>
    <mergeCell ref="I126:K126"/>
    <mergeCell ref="L126:N126"/>
    <mergeCell ref="B106:D106"/>
    <mergeCell ref="E106:H106"/>
    <mergeCell ref="I106:K106"/>
    <mergeCell ref="L106:N106"/>
    <mergeCell ref="B107:D107"/>
    <mergeCell ref="E107:H107"/>
    <mergeCell ref="I107:K107"/>
    <mergeCell ref="L107:N107"/>
    <mergeCell ref="L112:N112"/>
    <mergeCell ref="E112:H112"/>
    <mergeCell ref="I112:K112"/>
    <mergeCell ref="L114:N114"/>
    <mergeCell ref="B113:D113"/>
    <mergeCell ref="E113:H113"/>
    <mergeCell ref="I113:K113"/>
    <mergeCell ref="O118:Q118"/>
    <mergeCell ref="A131:Q131"/>
    <mergeCell ref="B128:D128"/>
    <mergeCell ref="E128:H128"/>
    <mergeCell ref="I128:K128"/>
    <mergeCell ref="L128:N128"/>
    <mergeCell ref="O128:Q129"/>
    <mergeCell ref="B112:D112"/>
    <mergeCell ref="L113:N113"/>
    <mergeCell ref="I118:K118"/>
    <mergeCell ref="L118:N118"/>
    <mergeCell ref="O120:Q123"/>
    <mergeCell ref="B120:D120"/>
    <mergeCell ref="E120:H120"/>
    <mergeCell ref="I120:K120"/>
    <mergeCell ref="L120:N120"/>
    <mergeCell ref="B123:D123"/>
    <mergeCell ref="E123:H123"/>
    <mergeCell ref="I123:K123"/>
    <mergeCell ref="L123:N123"/>
    <mergeCell ref="B122:D122"/>
    <mergeCell ref="E122:H122"/>
    <mergeCell ref="I122:K122"/>
    <mergeCell ref="L122:N122"/>
    <mergeCell ref="B121:D121"/>
    <mergeCell ref="O89:Q89"/>
    <mergeCell ref="O91:Q91"/>
    <mergeCell ref="A92:Q92"/>
    <mergeCell ref="B89:D89"/>
    <mergeCell ref="E89:H89"/>
    <mergeCell ref="I89:K89"/>
    <mergeCell ref="L89:N89"/>
    <mergeCell ref="B104:D104"/>
    <mergeCell ref="E104:H104"/>
    <mergeCell ref="I104:K104"/>
    <mergeCell ref="L104:N104"/>
    <mergeCell ref="B93:D93"/>
    <mergeCell ref="E93:H93"/>
    <mergeCell ref="I93:K93"/>
    <mergeCell ref="L93:N93"/>
    <mergeCell ref="B102:D102"/>
    <mergeCell ref="E102:H102"/>
    <mergeCell ref="I102:K102"/>
    <mergeCell ref="L102:N102"/>
    <mergeCell ref="A97:T97"/>
    <mergeCell ref="B98:D98"/>
    <mergeCell ref="E98:H98"/>
    <mergeCell ref="I98:K98"/>
    <mergeCell ref="L98:N98"/>
    <mergeCell ref="B105:D105"/>
    <mergeCell ref="E105:H105"/>
    <mergeCell ref="I105:K105"/>
    <mergeCell ref="L105:N105"/>
    <mergeCell ref="B129:D129"/>
    <mergeCell ref="O93:Q93"/>
    <mergeCell ref="E129:H129"/>
    <mergeCell ref="E42:H42"/>
    <mergeCell ref="B42:D42"/>
    <mergeCell ref="E52:H52"/>
    <mergeCell ref="A54:Q54"/>
    <mergeCell ref="I129:K129"/>
    <mergeCell ref="L129:N129"/>
    <mergeCell ref="B110:D110"/>
    <mergeCell ref="E110:H110"/>
    <mergeCell ref="I110:K110"/>
    <mergeCell ref="L110:N110"/>
    <mergeCell ref="B115:D115"/>
    <mergeCell ref="E115:H115"/>
    <mergeCell ref="I115:K115"/>
    <mergeCell ref="L115:N115"/>
    <mergeCell ref="B114:D114"/>
    <mergeCell ref="E114:H114"/>
    <mergeCell ref="I114:K114"/>
    <mergeCell ref="O12:Q17"/>
    <mergeCell ref="I12:K17"/>
    <mergeCell ref="I19:K24"/>
    <mergeCell ref="O19:Q24"/>
    <mergeCell ref="B19:D19"/>
    <mergeCell ref="E19:H19"/>
    <mergeCell ref="B20:D20"/>
    <mergeCell ref="E20:H20"/>
    <mergeCell ref="B15:D15"/>
    <mergeCell ref="E15:H15"/>
    <mergeCell ref="B16:D16"/>
    <mergeCell ref="E16:H16"/>
    <mergeCell ref="B17:D17"/>
    <mergeCell ref="E17:H17"/>
    <mergeCell ref="B13:D13"/>
    <mergeCell ref="L12:N17"/>
    <mergeCell ref="E24:H24"/>
    <mergeCell ref="B21:D21"/>
    <mergeCell ref="E21:H21"/>
    <mergeCell ref="B22:D22"/>
    <mergeCell ref="E22:H22"/>
    <mergeCell ref="E31:H31"/>
    <mergeCell ref="B28:D28"/>
    <mergeCell ref="L26:N31"/>
    <mergeCell ref="L40:N45"/>
    <mergeCell ref="L47:N52"/>
    <mergeCell ref="B33:D33"/>
    <mergeCell ref="E33:H33"/>
    <mergeCell ref="I33:K38"/>
    <mergeCell ref="E27:H27"/>
    <mergeCell ref="E34:H34"/>
    <mergeCell ref="B35:D35"/>
    <mergeCell ref="E35:H35"/>
    <mergeCell ref="B36:D36"/>
    <mergeCell ref="E36:H36"/>
    <mergeCell ref="A95:T95"/>
    <mergeCell ref="B96:D96"/>
    <mergeCell ref="E96:H96"/>
    <mergeCell ref="I96:K96"/>
    <mergeCell ref="L96:N96"/>
    <mergeCell ref="O96:Q96"/>
    <mergeCell ref="R96:T96"/>
    <mergeCell ref="L19:N24"/>
    <mergeCell ref="E29:H29"/>
    <mergeCell ref="B26:D26"/>
    <mergeCell ref="E26:H26"/>
    <mergeCell ref="B27:D27"/>
    <mergeCell ref="A32:Q32"/>
    <mergeCell ref="A39:Q39"/>
    <mergeCell ref="B57:D57"/>
    <mergeCell ref="I57:K57"/>
    <mergeCell ref="L57:N57"/>
    <mergeCell ref="A46:Q46"/>
    <mergeCell ref="O56:Q67"/>
    <mergeCell ref="B61:D61"/>
    <mergeCell ref="E61:H61"/>
    <mergeCell ref="I61:K61"/>
    <mergeCell ref="L61:N61"/>
    <mergeCell ref="B62:D62"/>
    <mergeCell ref="B91:D91"/>
    <mergeCell ref="E91:H91"/>
    <mergeCell ref="I91:K91"/>
    <mergeCell ref="L91:N91"/>
    <mergeCell ref="E83:H83"/>
    <mergeCell ref="B85:D85"/>
    <mergeCell ref="E85:H85"/>
    <mergeCell ref="I82:K82"/>
    <mergeCell ref="I83:K83"/>
    <mergeCell ref="I85:K85"/>
    <mergeCell ref="L82:N82"/>
    <mergeCell ref="L83:N83"/>
    <mergeCell ref="L85:N85"/>
    <mergeCell ref="B83:D83"/>
    <mergeCell ref="L86:N86"/>
    <mergeCell ref="B86:D86"/>
    <mergeCell ref="E86:H86"/>
    <mergeCell ref="I86:K86"/>
    <mergeCell ref="B76:D76"/>
    <mergeCell ref="E76:H76"/>
    <mergeCell ref="I62:K62"/>
    <mergeCell ref="L62:N62"/>
    <mergeCell ref="B65:D65"/>
    <mergeCell ref="B77:D77"/>
    <mergeCell ref="E77:H77"/>
    <mergeCell ref="B74:D74"/>
    <mergeCell ref="E74:H74"/>
    <mergeCell ref="B70:D70"/>
    <mergeCell ref="E70:H70"/>
    <mergeCell ref="I70:K70"/>
    <mergeCell ref="B72:D72"/>
    <mergeCell ref="E72:H72"/>
    <mergeCell ref="I72:K74"/>
    <mergeCell ref="I76:K77"/>
    <mergeCell ref="L72:N74"/>
    <mergeCell ref="L76:N77"/>
    <mergeCell ref="A75:Q75"/>
    <mergeCell ref="O70:Q70"/>
    <mergeCell ref="O72:Q74"/>
    <mergeCell ref="O76:Q77"/>
    <mergeCell ref="E65:H65"/>
    <mergeCell ref="I65:K65"/>
    <mergeCell ref="L70:N70"/>
    <mergeCell ref="B44:D44"/>
    <mergeCell ref="E44:H44"/>
    <mergeCell ref="B45:D45"/>
    <mergeCell ref="E45:H45"/>
    <mergeCell ref="B43:D43"/>
    <mergeCell ref="E43:H43"/>
    <mergeCell ref="B40:D40"/>
    <mergeCell ref="E40:H40"/>
    <mergeCell ref="B41:D41"/>
    <mergeCell ref="E41:H41"/>
    <mergeCell ref="B66:D66"/>
    <mergeCell ref="E66:H66"/>
    <mergeCell ref="I66:K66"/>
    <mergeCell ref="L66:N66"/>
    <mergeCell ref="B67:D67"/>
    <mergeCell ref="E67:H67"/>
    <mergeCell ref="I67:K67"/>
    <mergeCell ref="L67:N67"/>
    <mergeCell ref="B64:D64"/>
    <mergeCell ref="E64:H64"/>
    <mergeCell ref="I64:K64"/>
    <mergeCell ref="L64:N64"/>
    <mergeCell ref="E62:H62"/>
    <mergeCell ref="E58:H58"/>
    <mergeCell ref="I58:K58"/>
    <mergeCell ref="L58:N58"/>
    <mergeCell ref="B37:D37"/>
    <mergeCell ref="E37:H37"/>
    <mergeCell ref="B38:D38"/>
    <mergeCell ref="E38:H38"/>
    <mergeCell ref="A25:T25"/>
    <mergeCell ref="B23:D23"/>
    <mergeCell ref="E23:H23"/>
    <mergeCell ref="B24:D24"/>
    <mergeCell ref="E28:H28"/>
    <mergeCell ref="B29:D29"/>
    <mergeCell ref="B34:D34"/>
    <mergeCell ref="O26:Q31"/>
    <mergeCell ref="I26:K31"/>
    <mergeCell ref="O40:Q45"/>
    <mergeCell ref="I40:K45"/>
    <mergeCell ref="I47:K52"/>
    <mergeCell ref="O47:Q52"/>
    <mergeCell ref="O55:Q55"/>
    <mergeCell ref="B30:D30"/>
    <mergeCell ref="E30:H30"/>
    <mergeCell ref="B31:D31"/>
    <mergeCell ref="E121:H121"/>
    <mergeCell ref="I121:K121"/>
    <mergeCell ref="L121:N121"/>
    <mergeCell ref="B63:D63"/>
    <mergeCell ref="E63:H63"/>
    <mergeCell ref="I63:K63"/>
    <mergeCell ref="L63:N63"/>
    <mergeCell ref="E51:H51"/>
    <mergeCell ref="B55:D55"/>
    <mergeCell ref="E55:H55"/>
    <mergeCell ref="I55:K55"/>
    <mergeCell ref="L55:N55"/>
    <mergeCell ref="B60:D60"/>
    <mergeCell ref="E60:H60"/>
    <mergeCell ref="I60:K60"/>
    <mergeCell ref="L60:N60"/>
    <mergeCell ref="B56:D56"/>
    <mergeCell ref="E56:H56"/>
    <mergeCell ref="I56:K56"/>
    <mergeCell ref="L56:N56"/>
    <mergeCell ref="B59:D59"/>
    <mergeCell ref="E59:H59"/>
    <mergeCell ref="I59:K59"/>
    <mergeCell ref="L59:N59"/>
    <mergeCell ref="U10:W10"/>
    <mergeCell ref="A11:W11"/>
    <mergeCell ref="R70:T70"/>
    <mergeCell ref="U70:W70"/>
    <mergeCell ref="A69:W69"/>
    <mergeCell ref="A71:W71"/>
    <mergeCell ref="R72:T72"/>
    <mergeCell ref="R73:T73"/>
    <mergeCell ref="R74:T74"/>
    <mergeCell ref="U72:W72"/>
    <mergeCell ref="U73:W73"/>
    <mergeCell ref="L33:N38"/>
    <mergeCell ref="O33:Q38"/>
    <mergeCell ref="U74:W74"/>
    <mergeCell ref="B47:D47"/>
    <mergeCell ref="E47:H47"/>
    <mergeCell ref="B48:D48"/>
    <mergeCell ref="E48:H48"/>
    <mergeCell ref="B52:D52"/>
    <mergeCell ref="B49:D49"/>
    <mergeCell ref="E49:H49"/>
    <mergeCell ref="B50:D50"/>
    <mergeCell ref="E50:H50"/>
    <mergeCell ref="B51:D51"/>
    <mergeCell ref="A9:W9"/>
    <mergeCell ref="A18:W18"/>
    <mergeCell ref="R12:T12"/>
    <mergeCell ref="R13:T13"/>
    <mergeCell ref="R14:T14"/>
    <mergeCell ref="R15:T15"/>
    <mergeCell ref="R16:T16"/>
    <mergeCell ref="R17:T17"/>
    <mergeCell ref="U12:W12"/>
    <mergeCell ref="U13:W13"/>
    <mergeCell ref="U14:W14"/>
    <mergeCell ref="U15:W15"/>
    <mergeCell ref="U16:W16"/>
    <mergeCell ref="U17:W17"/>
    <mergeCell ref="E10:H10"/>
    <mergeCell ref="I10:K10"/>
    <mergeCell ref="L10:N10"/>
    <mergeCell ref="B12:D12"/>
    <mergeCell ref="E12:H12"/>
    <mergeCell ref="E13:H13"/>
    <mergeCell ref="B14:D14"/>
    <mergeCell ref="E14:H14"/>
    <mergeCell ref="B10:D10"/>
    <mergeCell ref="O10:Q10"/>
    <mergeCell ref="I152:S152"/>
    <mergeCell ref="I151:S151"/>
    <mergeCell ref="B150:S150"/>
    <mergeCell ref="B154:S154"/>
    <mergeCell ref="I155:S155"/>
    <mergeCell ref="I156:S156"/>
    <mergeCell ref="O98:Q98"/>
    <mergeCell ref="R98:T98"/>
    <mergeCell ref="B99:D99"/>
    <mergeCell ref="E99:H99"/>
    <mergeCell ref="I99:K99"/>
    <mergeCell ref="L99:N99"/>
    <mergeCell ref="O99:Q99"/>
    <mergeCell ref="R99:T99"/>
    <mergeCell ref="O100:Q100"/>
    <mergeCell ref="R100:T100"/>
    <mergeCell ref="E100:H100"/>
    <mergeCell ref="B100:D100"/>
    <mergeCell ref="I100:K100"/>
    <mergeCell ref="L100:N100"/>
    <mergeCell ref="B155:H155"/>
    <mergeCell ref="B156:H156"/>
    <mergeCell ref="B118:D118"/>
    <mergeCell ref="E118:H118"/>
  </mergeCells>
  <hyperlinks>
    <hyperlink ref="R12" r:id="rId1" xr:uid="{40565451-A10D-455D-86FF-77584D27AFAB}"/>
    <hyperlink ref="R13" r:id="rId2" xr:uid="{05CE6671-C99F-4DCF-BD74-C11525C63DE9}"/>
    <hyperlink ref="R14" r:id="rId3" xr:uid="{5DABCAA9-63DF-424D-9BB9-F5907266897A}"/>
    <hyperlink ref="R15" r:id="rId4" xr:uid="{871F2FAD-2373-4F2E-BC65-013264377367}"/>
    <hyperlink ref="R16" r:id="rId5" xr:uid="{02671A6E-7D44-433C-BA7A-A45819A7ED9D}"/>
    <hyperlink ref="R17" r:id="rId6" xr:uid="{8DBC95DE-2429-4181-9E0E-F540D86521B7}"/>
    <hyperlink ref="R19" r:id="rId7" xr:uid="{D0FC5401-E891-4595-9819-54A01172D702}"/>
    <hyperlink ref="R26" r:id="rId8" xr:uid="{F3E2EC3B-BEC1-4A25-9D9E-6F66021DCE3E}"/>
    <hyperlink ref="R72" r:id="rId9" xr:uid="{D6AEAE23-995C-4F20-BFD7-277B12BAD90A}"/>
    <hyperlink ref="R74" r:id="rId10" xr:uid="{A37BAEED-CEBD-424D-AE4B-8051F3F49B06}"/>
    <hyperlink ref="R73" r:id="rId11" xr:uid="{06911A03-454B-49AB-87DE-F05957E4188F}"/>
    <hyperlink ref="R83" r:id="rId12" xr:uid="{1F75D4E1-7A36-416C-96C6-396D284757B8}"/>
    <hyperlink ref="R91" r:id="rId13" xr:uid="{463C67AB-2B40-406A-93CE-3D86D93E0A41}"/>
    <hyperlink ref="R144" r:id="rId14" xr:uid="{A9C88F7E-F600-453F-9B33-5869F042885A}"/>
    <hyperlink ref="R104" r:id="rId15" xr:uid="{C7059A20-C7BA-4BC5-833F-3C79332B05C3}"/>
    <hyperlink ref="R105" r:id="rId16" xr:uid="{28EA8889-088E-4BCE-8AF3-C639F061E4BE}"/>
    <hyperlink ref="R107" r:id="rId17" xr:uid="{FCDF1C94-5C0B-4E5A-9E72-525C1120D048}"/>
    <hyperlink ref="R106" r:id="rId18" xr:uid="{8682F91B-6DCA-40A5-B7C0-D9316FE6E48C}"/>
    <hyperlink ref="L85" r:id="rId19" xr:uid="{C488792D-F8C6-4890-9EB5-E0649660BC5F}"/>
    <hyperlink ref="L82" r:id="rId20" xr:uid="{95249F20-703D-4BB4-84C7-892B1B32897C}"/>
    <hyperlink ref="L86" r:id="rId21" xr:uid="{1C2D7054-30C5-4B40-8D61-F5559D1D87EE}"/>
    <hyperlink ref="L144" r:id="rId22" xr:uid="{360F3E1C-96D1-4BF2-8C67-74DF88BC0C34}"/>
    <hyperlink ref="L145" r:id="rId23" xr:uid="{FBCEC096-DEA1-4189-85B1-D4F9626A2651}"/>
    <hyperlink ref="L146" r:id="rId24" xr:uid="{72E15954-18AF-4987-B646-4335EB4C713D}"/>
    <hyperlink ref="L12" r:id="rId25" xr:uid="{0A676F64-EA7E-4D8D-BCB5-FB1CCB509E6E}"/>
    <hyperlink ref="L33" r:id="rId26" xr:uid="{249F98EF-9AB0-4D7F-B541-711CF9734D0B}"/>
    <hyperlink ref="L59" r:id="rId27" xr:uid="{06A18106-04D8-44F5-8508-59805ABB1C49}"/>
    <hyperlink ref="L60" r:id="rId28" xr:uid="{30884C41-7FD7-4A6A-936E-F5F648572198}"/>
    <hyperlink ref="L61" r:id="rId29" xr:uid="{79B8C307-7849-4E82-BE3D-D7E15B235BF5}"/>
    <hyperlink ref="L56" r:id="rId30" xr:uid="{7EFFCCAF-8649-42E7-9EC5-45911AFFE2C7}"/>
    <hyperlink ref="L57" r:id="rId31" xr:uid="{F81CE65B-15F1-4901-AE8B-0BF22DC328B0}"/>
    <hyperlink ref="L58" r:id="rId32" xr:uid="{296F1426-AB34-4B86-9970-C085B2E6B8DA}"/>
    <hyperlink ref="L47" r:id="rId33" xr:uid="{8897B337-7542-4488-9AC2-FBE7C482405A}"/>
    <hyperlink ref="L40" r:id="rId34" xr:uid="{81124ADF-CB27-484E-861F-8B40F66D7984}"/>
    <hyperlink ref="L62" r:id="rId35" xr:uid="{B29CAADF-BDBE-4E3A-80CE-7AF47ED9EEB5}"/>
    <hyperlink ref="L63" r:id="rId36" xr:uid="{4AF7C8AE-E1A4-4A70-B1F7-1EFB74736778}"/>
    <hyperlink ref="L64" r:id="rId37" xr:uid="{1525A252-4165-480D-94E8-48E7418993FF}"/>
    <hyperlink ref="L65" r:id="rId38" xr:uid="{E5241802-EB7F-4807-A6A6-207317C98A72}"/>
    <hyperlink ref="L66" r:id="rId39" xr:uid="{17CD0381-B6FD-4CC2-B635-4812FF2EFB75}"/>
    <hyperlink ref="L67" r:id="rId40" xr:uid="{16136C22-3C75-40C7-8429-25AB38174B59}"/>
    <hyperlink ref="L76" r:id="rId41" xr:uid="{866BE4FC-54BF-4C6E-B720-1D913F9A25F2}"/>
    <hyperlink ref="L72" r:id="rId42" xr:uid="{F905B990-E4CE-42D5-9188-42E992587886}"/>
    <hyperlink ref="L120" r:id="rId43" xr:uid="{919CF958-4B19-473C-B8A4-60226F14E726}"/>
    <hyperlink ref="L121" r:id="rId44" xr:uid="{2010DB38-32C2-4E3A-BA2B-7FFE5A4A772F}"/>
    <hyperlink ref="L122" r:id="rId45" xr:uid="{9E9A9CB8-264A-416F-8A7B-4AF63F39EE2A}"/>
    <hyperlink ref="L123" r:id="rId46" xr:uid="{4E7F746B-6E91-41D2-94CC-1E2771BDEC10}"/>
    <hyperlink ref="L112" r:id="rId47" xr:uid="{B7B250AD-B221-4860-B80C-6DF2D5B3303F}"/>
    <hyperlink ref="L113" r:id="rId48" xr:uid="{70C4035E-F6D7-4217-8D62-D64ABEA1686E}"/>
    <hyperlink ref="L114" r:id="rId49" xr:uid="{6664F454-49FC-4F8E-A4C5-1163D64E75CC}"/>
    <hyperlink ref="L115" r:id="rId50" xr:uid="{8B8FCEA2-48FB-439A-A727-DBC835609F44}"/>
    <hyperlink ref="L83" r:id="rId51" xr:uid="{35940D93-7A79-4BE6-8BCD-C150D09EE1D2}"/>
    <hyperlink ref="L93" r:id="rId52" xr:uid="{FDDD7418-FB1D-4DD4-814B-034B3EE50814}"/>
    <hyperlink ref="L91" r:id="rId53" xr:uid="{6ACCCB79-4251-4670-AC0D-A91CD30C0E98}"/>
    <hyperlink ref="L107" r:id="rId54" xr:uid="{95AE06C9-A3D3-4088-BD52-2693ED37B91C}"/>
    <hyperlink ref="L104" r:id="rId55" xr:uid="{6F810F5D-BEFD-401F-9F94-919A7579A8E3}"/>
    <hyperlink ref="L105" r:id="rId56" xr:uid="{0836A0C9-54E8-4BED-8595-6884B9187A1B}"/>
    <hyperlink ref="L106" r:id="rId57" xr:uid="{0A1E9380-C2F9-49E5-AB0D-0CD2C402A801}"/>
    <hyperlink ref="L98" r:id="rId58" xr:uid="{68D355E3-EF55-4248-AE00-59D58276C648}"/>
    <hyperlink ref="L99" r:id="rId59" xr:uid="{B196D090-84E5-469B-B0C7-FBF722F5E97D}"/>
    <hyperlink ref="L100" r:id="rId60" xr:uid="{D166562F-6241-475C-984C-A97713EF9B20}"/>
    <hyperlink ref="L19" r:id="rId61" xr:uid="{3172A881-9323-4034-867A-E26AB820A8E3}"/>
    <hyperlink ref="R98" r:id="rId62" xr:uid="{5EC329E3-7D67-455F-890B-8CDCFAC1A5D0}"/>
    <hyperlink ref="R99" r:id="rId63" xr:uid="{E573076B-1EC3-4575-97E3-AC2B99DBE990}"/>
    <hyperlink ref="R100" r:id="rId64" xr:uid="{D0D67E44-6CE3-4374-A9E9-77277B3EFACD}"/>
    <hyperlink ref="L26" r:id="rId65" xr:uid="{662D47F6-8A7D-4FD9-B35F-94058726279B}"/>
    <hyperlink ref="R112" r:id="rId66" xr:uid="{63DF2080-9987-455D-A115-658FE791187C}"/>
    <hyperlink ref="R113" r:id="rId67" xr:uid="{1E52556D-2F82-4383-B052-3F6D5D9DA761}"/>
    <hyperlink ref="R114" r:id="rId68" xr:uid="{13565F4C-5F88-4280-9611-DBF589EB4F65}"/>
    <hyperlink ref="R115" r:id="rId69" xr:uid="{319EC4F3-229D-4635-9C88-F6A2C4F08EB0}"/>
    <hyperlink ref="R120" r:id="rId70" xr:uid="{A09618C5-D387-470E-A867-8C23FC016C7A}"/>
    <hyperlink ref="R121" r:id="rId71" xr:uid="{99DF2B16-EF3F-457B-9826-5491600C2D88}"/>
    <hyperlink ref="R122" r:id="rId72" xr:uid="{959087C2-F15F-4394-91DA-AC802F83424D}"/>
    <hyperlink ref="R123" r:id="rId73" xr:uid="{20C64307-1AF3-4468-9090-79BB513D5E33}"/>
    <hyperlink ref="R82" r:id="rId74" xr:uid="{8364A5F7-2550-45CB-9E73-A0D04FF085D7}"/>
    <hyperlink ref="L139" r:id="rId75" xr:uid="{7378BECB-79CF-40D3-A51D-0D3FD92816BE}"/>
    <hyperlink ref="U12:W12" location="Calculator!A1" display="CALCULATOR" xr:uid="{09CAAB1B-9CC7-440D-90DC-55D7C1681826}"/>
    <hyperlink ref="U13:W17" location="Calculator!A1" display="CALCULATOR" xr:uid="{F7BA90C9-C245-4480-910F-E3C552A325AE}"/>
    <hyperlink ref="U72:W74" location="Calculator!A1" display="CALCULATOR" xr:uid="{3CB12CD4-E186-4DEC-95D0-247545F1CF82}"/>
    <hyperlink ref="U82:W83" location="Calculator!A1" display="CALCULATOR" xr:uid="{C098244E-8488-474C-A5A5-C47160EF6B6A}"/>
  </hyperlinks>
  <pageMargins left="0.7" right="0.7" top="0.75" bottom="0.75" header="0.3" footer="0.3"/>
  <pageSetup paperSize="9" scale="35" orientation="portrait" r:id="rId76"/>
  <drawing r:id="rId7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B79A03-2747-43F9-916B-642CB882FE56}">
  <dimension ref="A2:S63"/>
  <sheetViews>
    <sheetView zoomScale="60" zoomScaleNormal="60" workbookViewId="0">
      <selection activeCell="C12" sqref="C12:N12"/>
    </sheetView>
  </sheetViews>
  <sheetFormatPr defaultRowHeight="15" x14ac:dyDescent="0.25"/>
  <cols>
    <col min="1" max="1" width="14" style="62" customWidth="1"/>
    <col min="2" max="2" width="27.140625" style="63" customWidth="1"/>
    <col min="3" max="3" width="38.42578125" customWidth="1"/>
    <col min="4" max="4" width="26.28515625" customWidth="1"/>
    <col min="5" max="5" width="34.85546875" customWidth="1"/>
    <col min="6" max="8" width="29.42578125" customWidth="1"/>
    <col min="9" max="9" width="16.7109375" customWidth="1"/>
    <col min="10" max="10" width="15" customWidth="1"/>
    <col min="11" max="11" width="15.5703125" customWidth="1"/>
    <col min="12" max="12" width="13.85546875" customWidth="1"/>
    <col min="13" max="13" width="13.42578125" customWidth="1"/>
    <col min="14" max="14" width="12.85546875" customWidth="1"/>
    <col min="15" max="15" width="14" style="10" bestFit="1" customWidth="1"/>
    <col min="16" max="16" width="13.42578125" style="10" customWidth="1"/>
    <col min="17" max="17" width="14.85546875" style="10" bestFit="1" customWidth="1"/>
    <col min="18" max="18" width="11.85546875" style="10" bestFit="1" customWidth="1"/>
  </cols>
  <sheetData>
    <row r="2" spans="1:19" x14ac:dyDescent="0.25">
      <c r="C2" s="259" t="s">
        <v>250</v>
      </c>
      <c r="D2" s="259"/>
      <c r="E2" s="259"/>
      <c r="F2" s="259"/>
      <c r="G2" s="259"/>
      <c r="H2" s="259"/>
      <c r="I2" s="259"/>
      <c r="J2" s="259"/>
      <c r="K2" s="259"/>
      <c r="L2" s="259"/>
      <c r="M2" s="259"/>
      <c r="N2" s="259"/>
    </row>
    <row r="3" spans="1:19" ht="30.75" customHeight="1" x14ac:dyDescent="0.25">
      <c r="C3" s="259"/>
      <c r="D3" s="259"/>
      <c r="E3" s="259"/>
      <c r="F3" s="259"/>
      <c r="G3" s="259"/>
      <c r="H3" s="259"/>
      <c r="I3" s="259"/>
      <c r="J3" s="259"/>
      <c r="K3" s="259"/>
      <c r="L3" s="259"/>
      <c r="M3" s="259"/>
      <c r="N3" s="259"/>
    </row>
    <row r="5" spans="1:19" x14ac:dyDescent="0.25">
      <c r="C5" s="260" t="s">
        <v>251</v>
      </c>
      <c r="D5" s="259"/>
      <c r="E5" s="259"/>
      <c r="F5" s="259"/>
      <c r="G5" s="259"/>
      <c r="H5" s="259"/>
      <c r="I5" s="259"/>
      <c r="J5" s="259"/>
      <c r="K5" s="259"/>
      <c r="L5" s="259"/>
      <c r="M5" s="259"/>
      <c r="N5" s="259"/>
    </row>
    <row r="6" spans="1:19" ht="42.75" customHeight="1" x14ac:dyDescent="0.25">
      <c r="C6" s="259"/>
      <c r="D6" s="259"/>
      <c r="E6" s="259"/>
      <c r="F6" s="259"/>
      <c r="G6" s="259"/>
      <c r="H6" s="259"/>
      <c r="I6" s="259"/>
      <c r="J6" s="259"/>
      <c r="K6" s="259"/>
      <c r="L6" s="259"/>
      <c r="M6" s="259"/>
      <c r="N6" s="259"/>
    </row>
    <row r="7" spans="1:19" ht="24" thickBot="1" x14ac:dyDescent="0.3">
      <c r="P7" s="61" t="s">
        <v>272</v>
      </c>
    </row>
    <row r="8" spans="1:19" ht="29.25" thickBot="1" x14ac:dyDescent="0.5">
      <c r="A8" s="64"/>
      <c r="B8" s="65"/>
      <c r="C8" s="261" t="s">
        <v>69</v>
      </c>
      <c r="D8" s="262"/>
      <c r="E8" s="262"/>
      <c r="F8" s="262"/>
      <c r="G8" s="262"/>
      <c r="H8" s="262"/>
      <c r="I8" s="262"/>
      <c r="J8" s="262"/>
      <c r="K8" s="262"/>
      <c r="L8" s="262"/>
      <c r="M8" s="262"/>
      <c r="N8" s="263"/>
      <c r="O8" s="60"/>
    </row>
    <row r="9" spans="1:19" ht="24" customHeight="1" thickBot="1" x14ac:dyDescent="0.5">
      <c r="A9" s="64"/>
      <c r="B9" s="65"/>
      <c r="C9" s="264" t="s">
        <v>70</v>
      </c>
      <c r="D9" s="265"/>
      <c r="E9" s="265"/>
      <c r="F9" s="265"/>
      <c r="G9" s="265"/>
      <c r="H9" s="265"/>
      <c r="I9" s="265"/>
      <c r="J9" s="265"/>
      <c r="K9" s="265"/>
      <c r="L9" s="265"/>
      <c r="M9" s="265"/>
      <c r="N9" s="266"/>
      <c r="O9" s="60"/>
      <c r="P9" s="60"/>
    </row>
    <row r="10" spans="1:19" ht="29.25" thickBot="1" x14ac:dyDescent="0.5">
      <c r="A10" s="64"/>
      <c r="B10" s="65"/>
      <c r="C10" s="267">
        <v>1200</v>
      </c>
      <c r="D10" s="268"/>
      <c r="E10" s="268"/>
      <c r="F10" s="268"/>
      <c r="G10" s="268"/>
      <c r="H10" s="268"/>
      <c r="I10" s="268"/>
      <c r="J10" s="268"/>
      <c r="K10" s="268"/>
      <c r="L10" s="268"/>
      <c r="M10" s="268"/>
      <c r="N10" s="269"/>
      <c r="O10" s="270" t="s">
        <v>270</v>
      </c>
      <c r="P10" s="271"/>
      <c r="Q10" s="271"/>
      <c r="R10" s="271"/>
      <c r="S10" s="272"/>
    </row>
    <row r="11" spans="1:19" ht="29.25" thickBot="1" x14ac:dyDescent="0.5">
      <c r="A11" s="64"/>
      <c r="B11" s="65"/>
      <c r="C11" s="264" t="s">
        <v>71</v>
      </c>
      <c r="D11" s="265"/>
      <c r="E11" s="265"/>
      <c r="F11" s="265"/>
      <c r="G11" s="265"/>
      <c r="H11" s="265"/>
      <c r="I11" s="265"/>
      <c r="J11" s="265"/>
      <c r="K11" s="265"/>
      <c r="L11" s="265"/>
      <c r="M11" s="265"/>
      <c r="N11" s="266"/>
      <c r="O11" s="60"/>
      <c r="P11" s="60"/>
    </row>
    <row r="12" spans="1:19" ht="29.25" thickBot="1" x14ac:dyDescent="0.5">
      <c r="A12" s="64"/>
      <c r="B12" s="65"/>
      <c r="C12" s="267">
        <v>3</v>
      </c>
      <c r="D12" s="268"/>
      <c r="E12" s="268"/>
      <c r="F12" s="268"/>
      <c r="G12" s="268"/>
      <c r="H12" s="268"/>
      <c r="I12" s="268"/>
      <c r="J12" s="268"/>
      <c r="K12" s="268"/>
      <c r="L12" s="268"/>
      <c r="M12" s="268"/>
      <c r="N12" s="269"/>
      <c r="O12" s="270" t="s">
        <v>270</v>
      </c>
      <c r="P12" s="271"/>
      <c r="Q12" s="271"/>
      <c r="R12" s="271"/>
      <c r="S12" s="272"/>
    </row>
    <row r="13" spans="1:19" ht="32.1" customHeight="1" thickBot="1" x14ac:dyDescent="0.5">
      <c r="A13" s="64"/>
      <c r="B13" s="65"/>
      <c r="C13" s="288" t="s">
        <v>72</v>
      </c>
      <c r="D13" s="289"/>
      <c r="E13" s="289"/>
      <c r="F13" s="289"/>
      <c r="G13" s="289"/>
      <c r="H13" s="289"/>
      <c r="I13" s="289"/>
      <c r="J13" s="289"/>
      <c r="K13" s="289"/>
      <c r="L13" s="289"/>
      <c r="M13" s="289"/>
      <c r="N13" s="290"/>
      <c r="O13" s="60"/>
      <c r="P13" s="60"/>
    </row>
    <row r="14" spans="1:19" ht="32.1" customHeight="1" thickBot="1" x14ac:dyDescent="0.5">
      <c r="A14" s="64"/>
      <c r="B14" s="65"/>
      <c r="C14" s="291">
        <f>C10/C12</f>
        <v>400</v>
      </c>
      <c r="D14" s="292"/>
      <c r="E14" s="292"/>
      <c r="F14" s="292"/>
      <c r="G14" s="292"/>
      <c r="H14" s="292"/>
      <c r="I14" s="292"/>
      <c r="J14" s="292"/>
      <c r="K14" s="292"/>
      <c r="L14" s="292"/>
      <c r="M14" s="292"/>
      <c r="N14" s="293"/>
      <c r="O14" s="60"/>
      <c r="P14" s="60"/>
    </row>
    <row r="15" spans="1:19" ht="29.25" thickBot="1" x14ac:dyDescent="0.5">
      <c r="A15" s="64"/>
      <c r="B15" s="65"/>
      <c r="C15" s="288" t="s">
        <v>252</v>
      </c>
      <c r="D15" s="289"/>
      <c r="E15" s="289"/>
      <c r="F15" s="289"/>
      <c r="G15" s="289"/>
      <c r="H15" s="289"/>
      <c r="I15" s="289"/>
      <c r="J15" s="289"/>
      <c r="K15" s="289"/>
      <c r="L15" s="289"/>
      <c r="M15" s="289"/>
      <c r="N15" s="290"/>
      <c r="O15" s="60"/>
      <c r="P15" s="60"/>
    </row>
    <row r="16" spans="1:19" ht="29.25" thickBot="1" x14ac:dyDescent="0.5">
      <c r="A16" s="64"/>
      <c r="B16" s="65"/>
      <c r="C16" s="276">
        <v>5</v>
      </c>
      <c r="D16" s="277"/>
      <c r="E16" s="277"/>
      <c r="F16" s="277"/>
      <c r="G16" s="277"/>
      <c r="H16" s="277"/>
      <c r="I16" s="277"/>
      <c r="J16" s="277"/>
      <c r="K16" s="277"/>
      <c r="L16" s="277"/>
      <c r="M16" s="277"/>
      <c r="N16" s="278"/>
      <c r="O16" s="270" t="s">
        <v>269</v>
      </c>
      <c r="P16" s="271"/>
      <c r="Q16" s="271"/>
      <c r="R16" s="271"/>
      <c r="S16" s="272"/>
    </row>
    <row r="17" spans="1:18" ht="23.25" x14ac:dyDescent="0.35">
      <c r="C17" s="16"/>
      <c r="D17" s="16"/>
      <c r="E17" s="16"/>
      <c r="F17" s="16"/>
      <c r="G17" s="16"/>
      <c r="H17" s="16"/>
      <c r="I17" s="16"/>
      <c r="J17" s="16"/>
    </row>
    <row r="19" spans="1:18" ht="23.25" x14ac:dyDescent="0.35">
      <c r="A19" s="66"/>
      <c r="B19" s="67"/>
      <c r="C19" s="16"/>
      <c r="D19" s="17" t="s">
        <v>73</v>
      </c>
      <c r="E19" s="17" t="s">
        <v>74</v>
      </c>
      <c r="F19" s="18" t="s">
        <v>261</v>
      </c>
      <c r="G19" s="18" t="s">
        <v>263</v>
      </c>
      <c r="H19" s="18" t="s">
        <v>271</v>
      </c>
      <c r="I19" s="18" t="s">
        <v>253</v>
      </c>
      <c r="J19" s="18" t="s">
        <v>75</v>
      </c>
      <c r="K19" s="18" t="s">
        <v>76</v>
      </c>
      <c r="L19" s="18" t="s">
        <v>77</v>
      </c>
      <c r="M19" s="18" t="s">
        <v>78</v>
      </c>
      <c r="N19" s="19" t="s">
        <v>79</v>
      </c>
      <c r="O19" s="61"/>
      <c r="P19" s="61"/>
    </row>
    <row r="20" spans="1:18" ht="51.75" customHeight="1" thickBot="1" x14ac:dyDescent="0.3">
      <c r="D20" s="279" t="s">
        <v>254</v>
      </c>
      <c r="E20" s="280"/>
      <c r="F20" s="280"/>
      <c r="G20" s="280"/>
      <c r="H20" s="280"/>
      <c r="I20" s="280"/>
      <c r="J20" s="280"/>
      <c r="K20" s="280"/>
      <c r="L20" s="280"/>
      <c r="M20" s="280"/>
      <c r="N20" s="281"/>
    </row>
    <row r="21" spans="1:18" ht="51.75" customHeight="1" thickBot="1" x14ac:dyDescent="0.3">
      <c r="A21" s="68" t="s">
        <v>266</v>
      </c>
      <c r="B21" s="68" t="s">
        <v>266</v>
      </c>
      <c r="D21" s="285" t="s">
        <v>262</v>
      </c>
      <c r="E21" s="286"/>
      <c r="F21" s="286"/>
      <c r="G21" s="286"/>
      <c r="H21" s="286"/>
      <c r="I21" s="286"/>
      <c r="J21" s="286"/>
      <c r="K21" s="286"/>
      <c r="L21" s="286"/>
      <c r="M21" s="286"/>
      <c r="N21" s="287"/>
      <c r="O21" s="68" t="s">
        <v>268</v>
      </c>
      <c r="P21" s="68" t="s">
        <v>268</v>
      </c>
      <c r="Q21" s="68" t="s">
        <v>267</v>
      </c>
      <c r="R21" s="68" t="s">
        <v>267</v>
      </c>
    </row>
    <row r="22" spans="1:18" ht="24" thickBot="1" x14ac:dyDescent="0.3">
      <c r="A22" s="68"/>
      <c r="B22" s="68"/>
      <c r="C22" s="20" t="s">
        <v>2</v>
      </c>
      <c r="D22" s="72">
        <f>C12*0.02</f>
        <v>0.06</v>
      </c>
      <c r="E22" s="73">
        <f>0.0142*C14</f>
        <v>5.6800000000000006</v>
      </c>
      <c r="F22" s="73">
        <f>0.0113*C14+0.5333</f>
        <v>5.0532999999999992</v>
      </c>
      <c r="G22" s="73">
        <f>IF((0.0693*C14-8.1)&lt;0,0,(0.0693*C14-8.1))</f>
        <v>19.619999999999997</v>
      </c>
      <c r="H22" s="73">
        <f>0.0531*C14+7.5206</f>
        <v>28.760600000000004</v>
      </c>
      <c r="I22" s="74">
        <f>IF((C10/(C16*(((3.14*(90*10^-3)^2))/4)*3600))&lt;1,1,(C10/(C16*(((3.14*(90*10^-3)^2))/4)*3600)))</f>
        <v>10.484653089040917</v>
      </c>
      <c r="J22" s="74">
        <f>IF((C10/(C16*(((3.14*(115*10^-3)^2))/4)*3600))&lt;1,1,(C10/(C16*(((3.14*(115*10^-3)^2))/4)*3600)))</f>
        <v>6.421602270036403</v>
      </c>
      <c r="K22" s="74">
        <f>IF((C10/(C16*(((3.14*(138*10^-3)^2))/4)*3600))&lt;1,1,(C10/(C16*(((3.14*(138*10^-3)^2))/4)*3600)))</f>
        <v>4.4594460208586115</v>
      </c>
      <c r="L22" s="74">
        <f>IF((C10/(C16*(((3.14*(170*10^-3)^2))/4)*3600))&lt;1,1,(C10/(C16*(((3.14*(170*10^-3)^2))/4)*3600)))</f>
        <v>2.9386051910460695</v>
      </c>
      <c r="M22" s="74">
        <f>IF((C10/(C16*(((3.14*(190*10^-3)^2))/4)*3600))&lt;1,1,(C10/(C16*(((3.14*(190*10^-3)^2))/4)*3600)))</f>
        <v>2.3525121889537788</v>
      </c>
      <c r="N22" s="74">
        <f>IF((C10/(C16*(((3.14*(240*10^-3)^2))/4)*3600))&lt;1,1,(C10/(C16*(((3.14*(240*10^-3)^2))/4)*3600)))</f>
        <v>1.4744043406463787</v>
      </c>
      <c r="O22" s="67"/>
      <c r="P22" s="69"/>
      <c r="Q22" s="63"/>
      <c r="R22" s="63"/>
    </row>
    <row r="23" spans="1:18" ht="24" thickBot="1" x14ac:dyDescent="0.3">
      <c r="A23" s="69">
        <f>IF((0.0713*C14-10.264)&gt;=G22,(0.0713*C14-10.264-7),(0.0713*C14-10.264))</f>
        <v>18.256</v>
      </c>
      <c r="B23" s="69">
        <f>IF((A23)&lt;0,0,(A23))</f>
        <v>18.256</v>
      </c>
      <c r="C23" s="20" t="s">
        <v>3</v>
      </c>
      <c r="D23" s="36">
        <f>C12*0.025</f>
        <v>7.5000000000000011E-2</v>
      </c>
      <c r="E23" s="21">
        <f>0.0111*C14</f>
        <v>4.4400000000000004</v>
      </c>
      <c r="F23" s="21">
        <f t="shared" ref="F23:F25" si="0">P23</f>
        <v>4.5329000000000006</v>
      </c>
      <c r="G23" s="21">
        <f t="shared" ref="G23:G26" si="1">B23</f>
        <v>18.256</v>
      </c>
      <c r="H23" s="21">
        <f>R23</f>
        <v>24.307399999999998</v>
      </c>
      <c r="I23" s="22">
        <f t="shared" ref="I23:N52" si="2">I22</f>
        <v>10.484653089040917</v>
      </c>
      <c r="J23" s="22">
        <f t="shared" si="2"/>
        <v>6.421602270036403</v>
      </c>
      <c r="K23" s="22">
        <f t="shared" si="2"/>
        <v>4.4594460208586115</v>
      </c>
      <c r="L23" s="22">
        <f t="shared" si="2"/>
        <v>2.9386051910460695</v>
      </c>
      <c r="M23" s="22">
        <f t="shared" si="2"/>
        <v>2.3525121889537788</v>
      </c>
      <c r="N23" s="22">
        <f t="shared" si="2"/>
        <v>1.4744043406463787</v>
      </c>
      <c r="O23" s="69">
        <f>IF((0.0109*C14+0.1729)&gt;=F22,(0.0109*C14+0.1729-1),(0.0109*C14+0.1729))</f>
        <v>4.5329000000000006</v>
      </c>
      <c r="P23" s="69">
        <f>IF((O23)&lt;0,0,(O23))</f>
        <v>4.5329000000000006</v>
      </c>
      <c r="Q23" s="69">
        <f>IF((0.0447*C14+6.4274)&gt;=H22,(0.0447*C14+6.4274-5),(0.0447*C14+6.4274))</f>
        <v>24.307399999999998</v>
      </c>
      <c r="R23" s="69">
        <f>IF((Q23)&lt;0,0,(Q23))</f>
        <v>24.307399999999998</v>
      </c>
    </row>
    <row r="24" spans="1:18" ht="24" thickBot="1" x14ac:dyDescent="0.3">
      <c r="A24" s="69">
        <f>IF((0.0707*C14-12.996)&gt;=G23,(0.0707*C14-12.996-7),(0.0707*C14-12.996))</f>
        <v>15.284000000000001</v>
      </c>
      <c r="B24" s="69">
        <f>IF((A24)&lt;0,0,(A24))</f>
        <v>15.284000000000001</v>
      </c>
      <c r="C24" s="20" t="s">
        <v>4</v>
      </c>
      <c r="D24" s="36">
        <f>C12*0.03</f>
        <v>0.09</v>
      </c>
      <c r="E24" s="21">
        <f>0.0093*C14</f>
        <v>3.7199999999999998</v>
      </c>
      <c r="F24" s="21">
        <f t="shared" si="0"/>
        <v>4.1329000000000002</v>
      </c>
      <c r="G24" s="21">
        <f>B24</f>
        <v>15.284000000000001</v>
      </c>
      <c r="H24" s="21">
        <f>R24</f>
        <v>21.266000000000002</v>
      </c>
      <c r="I24" s="22">
        <f t="shared" si="2"/>
        <v>10.484653089040917</v>
      </c>
      <c r="J24" s="22">
        <f t="shared" si="2"/>
        <v>6.421602270036403</v>
      </c>
      <c r="K24" s="22">
        <f t="shared" si="2"/>
        <v>4.4594460208586115</v>
      </c>
      <c r="L24" s="22">
        <f t="shared" si="2"/>
        <v>2.9386051910460695</v>
      </c>
      <c r="M24" s="22">
        <f t="shared" si="2"/>
        <v>2.3525121889537788</v>
      </c>
      <c r="N24" s="22">
        <f t="shared" si="2"/>
        <v>1.4744043406463787</v>
      </c>
      <c r="O24" s="69">
        <f>IF((0.0109*C14-0.2271)&gt;=F23,(0.0109*C14-0.2271-1),(0.0109*C14-0.2271))</f>
        <v>4.1329000000000002</v>
      </c>
      <c r="P24" s="69">
        <f>IF((O24)&lt;0,0,(O24))</f>
        <v>4.1329000000000002</v>
      </c>
      <c r="Q24" s="69">
        <f>IF((0.0415*C14+4.666)&gt;=H23,(0.0415*C14+4.666-5),(0.0415*C14+4.666))</f>
        <v>21.266000000000002</v>
      </c>
      <c r="R24" s="69">
        <f>IF((Q24)&lt;0,0,(Q24))</f>
        <v>21.266000000000002</v>
      </c>
    </row>
    <row r="25" spans="1:18" ht="24" thickBot="1" x14ac:dyDescent="0.3">
      <c r="A25" s="69">
        <f>IF((0.057*C14-9.8189)&gt;=G24,(0.057*C14-9.8189-7),(0.057*C14-9.8189))</f>
        <v>12.981100000000001</v>
      </c>
      <c r="B25" s="69">
        <f>IF((A25)&lt;0,0,(A25))</f>
        <v>12.981100000000001</v>
      </c>
      <c r="C25" s="20" t="s">
        <v>5</v>
      </c>
      <c r="D25" s="36">
        <f>C12*0.04</f>
        <v>0.12</v>
      </c>
      <c r="E25" s="21">
        <f>0.0069*C14</f>
        <v>2.76</v>
      </c>
      <c r="F25" s="21">
        <f t="shared" si="0"/>
        <v>3.5329000000000006</v>
      </c>
      <c r="G25" s="21">
        <f t="shared" si="1"/>
        <v>12.981100000000001</v>
      </c>
      <c r="H25" s="21">
        <f>R25</f>
        <v>17.291500000000003</v>
      </c>
      <c r="I25" s="22">
        <f t="shared" si="2"/>
        <v>10.484653089040917</v>
      </c>
      <c r="J25" s="22">
        <f t="shared" si="2"/>
        <v>6.421602270036403</v>
      </c>
      <c r="K25" s="22">
        <f t="shared" si="2"/>
        <v>4.4594460208586115</v>
      </c>
      <c r="L25" s="22">
        <f t="shared" si="2"/>
        <v>2.9386051910460695</v>
      </c>
      <c r="M25" s="22">
        <f t="shared" si="2"/>
        <v>2.3525121889537788</v>
      </c>
      <c r="N25" s="22">
        <f t="shared" si="2"/>
        <v>1.4744043406463787</v>
      </c>
      <c r="O25" s="69">
        <f>IF((0.0109*C14+0.1729)&gt;=F24,(0.0109*C14+0.1729-1),(0.0109*C14+0.1729))</f>
        <v>3.5329000000000006</v>
      </c>
      <c r="P25" s="69">
        <f>IF((O25)&lt;0,0,(O25))</f>
        <v>3.5329000000000006</v>
      </c>
      <c r="Q25" s="69">
        <f>IF((0.0323*C14+4.3715)&gt;=H24,(0.0323*C14+4.3715-5),(0.0323*C14+4.3715))</f>
        <v>17.291500000000003</v>
      </c>
      <c r="R25" s="69">
        <f>IF((Q25)&lt;0,0,(Q25))</f>
        <v>17.291500000000003</v>
      </c>
    </row>
    <row r="26" spans="1:18" ht="24" thickBot="1" x14ac:dyDescent="0.3">
      <c r="A26" s="69">
        <f>IF((0.0433*C14-10.103)&gt;=G25,(0.0433*C14-10.103-7),(0.0433*C14-10.103))</f>
        <v>7.2170000000000005</v>
      </c>
      <c r="B26" s="69">
        <f>IF((A26)&lt;0,0,(A26))</f>
        <v>7.2170000000000005</v>
      </c>
      <c r="C26" s="20" t="s">
        <v>6</v>
      </c>
      <c r="D26" s="36">
        <f>C12*0.05</f>
        <v>0.15000000000000002</v>
      </c>
      <c r="E26" s="21">
        <f>0.0056*C14</f>
        <v>2.2399999999999998</v>
      </c>
      <c r="F26" s="21">
        <f>P26</f>
        <v>3.0617999999999994</v>
      </c>
      <c r="G26" s="21">
        <f t="shared" si="1"/>
        <v>7.2170000000000005</v>
      </c>
      <c r="H26" s="21">
        <f>R26</f>
        <v>12.291500000000003</v>
      </c>
      <c r="I26" s="22">
        <f t="shared" si="2"/>
        <v>10.484653089040917</v>
      </c>
      <c r="J26" s="22">
        <f t="shared" si="2"/>
        <v>6.421602270036403</v>
      </c>
      <c r="K26" s="22">
        <f t="shared" si="2"/>
        <v>4.4594460208586115</v>
      </c>
      <c r="L26" s="22">
        <f t="shared" si="2"/>
        <v>2.9386051910460695</v>
      </c>
      <c r="M26" s="22">
        <f t="shared" si="2"/>
        <v>2.3525121889537788</v>
      </c>
      <c r="N26" s="22">
        <f t="shared" si="2"/>
        <v>1.4744043406463787</v>
      </c>
      <c r="O26" s="69">
        <f>IF((0.0107*C14-1.2182)&gt;=F25,(0.0107*C14-1.2182-1),(0.0107*C14-1.2182))</f>
        <v>3.0617999999999994</v>
      </c>
      <c r="P26" s="69">
        <f>IF((O26)&lt;0,0,(O26))</f>
        <v>3.0617999999999994</v>
      </c>
      <c r="Q26" s="69">
        <f>IF((0.0323*C14+4.3715)&gt;=H25,(0.0323*C14+4.3715-5),(0.0323*C14+4.3715))</f>
        <v>12.291500000000003</v>
      </c>
      <c r="R26" s="69">
        <f>IF((Q26)&lt;0,0,(Q26))</f>
        <v>12.291500000000003</v>
      </c>
    </row>
    <row r="27" spans="1:18" ht="24" thickBot="1" x14ac:dyDescent="0.3">
      <c r="A27" s="69">
        <f>IF((0.0321*C14+0.7353)&gt;=G26,(0.0321*C14+0.7353-7),(0.0321*C14+0.7353))</f>
        <v>6.5752999999999986</v>
      </c>
      <c r="B27" s="69">
        <f>IF((A27)&lt;0,0,(A27))</f>
        <v>6.5752999999999986</v>
      </c>
      <c r="C27" s="20" t="s">
        <v>7</v>
      </c>
      <c r="D27" s="75">
        <f>C12*0.065</f>
        <v>0.19500000000000001</v>
      </c>
      <c r="E27" s="76">
        <f>0.0043*C14</f>
        <v>1.72</v>
      </c>
      <c r="F27" s="76">
        <f>P27</f>
        <v>2.6867999999999994</v>
      </c>
      <c r="G27" s="76">
        <f>B27</f>
        <v>6.5752999999999986</v>
      </c>
      <c r="H27" s="76">
        <f>R27</f>
        <v>11.2195</v>
      </c>
      <c r="I27" s="77">
        <f t="shared" si="2"/>
        <v>10.484653089040917</v>
      </c>
      <c r="J27" s="77">
        <f t="shared" si="2"/>
        <v>6.421602270036403</v>
      </c>
      <c r="K27" s="77">
        <f t="shared" si="2"/>
        <v>4.4594460208586115</v>
      </c>
      <c r="L27" s="77">
        <f t="shared" si="2"/>
        <v>2.9386051910460695</v>
      </c>
      <c r="M27" s="77">
        <f t="shared" si="2"/>
        <v>2.3525121889537788</v>
      </c>
      <c r="N27" s="77">
        <f t="shared" si="2"/>
        <v>1.4744043406463787</v>
      </c>
      <c r="O27" s="69">
        <f>IF((0.0107*C14-1.5932)&gt;=F26,(0.0107*C14-1.5932-1),(0.0107*C14-1.5932))</f>
        <v>2.6867999999999994</v>
      </c>
      <c r="P27" s="69">
        <f>IF((O27)&lt;0,0,(O27))</f>
        <v>2.6867999999999994</v>
      </c>
      <c r="Q27" s="69">
        <f>IF((0.0184*C14+8.8595)&gt;=H26,(0.0184*C14+8.8595-5),(0.0184*C14+8.8595))</f>
        <v>11.2195</v>
      </c>
      <c r="R27" s="69">
        <f>IF((Q27)&lt;0,0,(Q27))</f>
        <v>11.2195</v>
      </c>
    </row>
    <row r="28" spans="1:18" ht="51.75" customHeight="1" thickBot="1" x14ac:dyDescent="0.3">
      <c r="A28" s="70"/>
      <c r="B28" s="71"/>
      <c r="D28" s="285" t="s">
        <v>264</v>
      </c>
      <c r="E28" s="286"/>
      <c r="F28" s="286"/>
      <c r="G28" s="286"/>
      <c r="H28" s="286"/>
      <c r="I28" s="286"/>
      <c r="J28" s="286"/>
      <c r="K28" s="286"/>
      <c r="L28" s="286"/>
      <c r="M28" s="286"/>
      <c r="N28" s="287"/>
      <c r="O28" s="71"/>
      <c r="P28" s="71"/>
      <c r="Q28" s="71"/>
      <c r="R28" s="71"/>
    </row>
    <row r="29" spans="1:18" ht="24" thickBot="1" x14ac:dyDescent="0.3">
      <c r="A29" s="69"/>
      <c r="B29" s="69"/>
      <c r="C29" s="20" t="s">
        <v>2</v>
      </c>
      <c r="D29" s="72">
        <f>D22</f>
        <v>0.06</v>
      </c>
      <c r="E29" s="73">
        <f>0.0142*C14</f>
        <v>5.6800000000000006</v>
      </c>
      <c r="F29" s="73">
        <f>0.0125*C14-0.15</f>
        <v>4.8499999999999996</v>
      </c>
      <c r="G29" s="73">
        <f>0.0608*C14-5.0833</f>
        <v>19.236699999999999</v>
      </c>
      <c r="H29" s="73">
        <f>0.0663*C14+0.0897</f>
        <v>26.6097</v>
      </c>
      <c r="I29" s="74">
        <f t="shared" ref="I29:N29" si="3">I22</f>
        <v>10.484653089040917</v>
      </c>
      <c r="J29" s="74">
        <f t="shared" si="3"/>
        <v>6.421602270036403</v>
      </c>
      <c r="K29" s="74">
        <f t="shared" si="3"/>
        <v>4.4594460208586115</v>
      </c>
      <c r="L29" s="74">
        <f t="shared" si="3"/>
        <v>2.9386051910460695</v>
      </c>
      <c r="M29" s="74">
        <f t="shared" si="3"/>
        <v>2.3525121889537788</v>
      </c>
      <c r="N29" s="74">
        <f t="shared" si="3"/>
        <v>1.4744043406463787</v>
      </c>
      <c r="O29" s="69"/>
      <c r="P29" s="69"/>
      <c r="Q29" s="71"/>
      <c r="R29" s="71"/>
    </row>
    <row r="30" spans="1:18" ht="24" thickBot="1" x14ac:dyDescent="0.3">
      <c r="A30" s="69">
        <f>IF((0.0444*C14-3.9375)&gt;=G29,(0.0444*C14-3.9375-7),(0.0444*C14-3.9375))</f>
        <v>13.822500000000002</v>
      </c>
      <c r="B30" s="69">
        <f>IF((A30)&lt;0,0,(A30))</f>
        <v>13.822500000000002</v>
      </c>
      <c r="C30" s="20" t="s">
        <v>3</v>
      </c>
      <c r="D30" s="36">
        <f t="shared" ref="D30:D34" si="4">D23</f>
        <v>7.5000000000000011E-2</v>
      </c>
      <c r="E30" s="21">
        <f>0.0111*C14</f>
        <v>4.4400000000000004</v>
      </c>
      <c r="F30" s="21">
        <f t="shared" ref="F30:F34" si="5">P30</f>
        <v>4.1612</v>
      </c>
      <c r="G30" s="21">
        <f>B30</f>
        <v>13.822500000000002</v>
      </c>
      <c r="H30" s="21">
        <f t="shared" ref="H30:H34" si="6">R30</f>
        <v>23.246099999999998</v>
      </c>
      <c r="I30" s="22">
        <f t="shared" ref="I30:N30" si="7">I29</f>
        <v>10.484653089040917</v>
      </c>
      <c r="J30" s="22">
        <f t="shared" si="7"/>
        <v>6.421602270036403</v>
      </c>
      <c r="K30" s="22">
        <f t="shared" si="7"/>
        <v>4.4594460208586115</v>
      </c>
      <c r="L30" s="22">
        <f t="shared" si="7"/>
        <v>2.9386051910460695</v>
      </c>
      <c r="M30" s="22">
        <f t="shared" si="7"/>
        <v>2.3525121889537788</v>
      </c>
      <c r="N30" s="22">
        <f t="shared" si="7"/>
        <v>1.4744043406463787</v>
      </c>
      <c r="O30" s="69">
        <f>IF((0.0117*C14-0.5188)&gt;=F29,(0.0117*C14-0.5188-1),(0.0117*C14-0.5188))</f>
        <v>4.1612</v>
      </c>
      <c r="P30" s="69">
        <f>IF((O30)&lt;0,0,(O30))</f>
        <v>4.1612</v>
      </c>
      <c r="Q30" s="69">
        <f>IF((0.0486*C14+3.8061)&gt;=H29,(0.0486*C14+3.8061-5),(0.0486*C14+3.8061))</f>
        <v>23.246099999999998</v>
      </c>
      <c r="R30" s="69">
        <f>IF((Q30)&lt;0,0,(Q30))</f>
        <v>23.246099999999998</v>
      </c>
    </row>
    <row r="31" spans="1:18" ht="24" thickBot="1" x14ac:dyDescent="0.3">
      <c r="A31" s="69">
        <f>IF((0.0158*C14-0.9)&gt;=G30,(0.0158*C14-0.9-7),(0.0158*C14-0.9))</f>
        <v>5.42</v>
      </c>
      <c r="B31" s="69">
        <f>IF((A31)&lt;0,0,(A31))</f>
        <v>5.42</v>
      </c>
      <c r="C31" s="20" t="s">
        <v>4</v>
      </c>
      <c r="D31" s="36">
        <f t="shared" si="4"/>
        <v>0.09</v>
      </c>
      <c r="E31" s="21">
        <f>0.0093*C14</f>
        <v>3.7199999999999998</v>
      </c>
      <c r="F31" s="21">
        <f t="shared" si="5"/>
        <v>3.7457000000000003</v>
      </c>
      <c r="G31" s="21">
        <f t="shared" ref="G31:G34" si="8">B31</f>
        <v>5.42</v>
      </c>
      <c r="H31" s="21">
        <f t="shared" si="6"/>
        <v>20.181100000000001</v>
      </c>
      <c r="I31" s="22">
        <f t="shared" ref="I31:N31" si="9">I30</f>
        <v>10.484653089040917</v>
      </c>
      <c r="J31" s="22">
        <f t="shared" si="9"/>
        <v>6.421602270036403</v>
      </c>
      <c r="K31" s="22">
        <f t="shared" si="9"/>
        <v>4.4594460208586115</v>
      </c>
      <c r="L31" s="22">
        <f t="shared" si="9"/>
        <v>2.9386051910460695</v>
      </c>
      <c r="M31" s="22">
        <f t="shared" si="9"/>
        <v>2.3525121889537788</v>
      </c>
      <c r="N31" s="22">
        <f t="shared" si="9"/>
        <v>1.4744043406463787</v>
      </c>
      <c r="O31" s="69">
        <f>IF((0.0105*C14-0.4543)&gt;=F30,(0.0105*C14-0.4543-1),(0.0105*C14-0.4543))</f>
        <v>3.7457000000000003</v>
      </c>
      <c r="P31" s="69">
        <f>IF((O31)&lt;0,0,(O31))</f>
        <v>3.7457000000000003</v>
      </c>
      <c r="Q31" s="69">
        <f>IF((0.0446*C14+2.3411)&gt;=H30,(0.0446*C14+2.3411-5),(0.0446*C14+2.3411))</f>
        <v>20.181100000000001</v>
      </c>
      <c r="R31" s="69">
        <f>IF((Q31)&lt;0,0,(Q31))</f>
        <v>20.181100000000001</v>
      </c>
    </row>
    <row r="32" spans="1:18" ht="24" thickBot="1" x14ac:dyDescent="0.3">
      <c r="A32" s="69">
        <f>IF((0.0144*C14-0.8208)&gt;=G31,(0.0144*C14-0.8208-7),(0.0144*C14-0.8208))</f>
        <v>4.9391999999999996</v>
      </c>
      <c r="B32" s="69">
        <f>IF((A32)&lt;0,0,(A32))</f>
        <v>4.9391999999999996</v>
      </c>
      <c r="C32" s="20" t="s">
        <v>5</v>
      </c>
      <c r="D32" s="36">
        <f t="shared" si="4"/>
        <v>0.12</v>
      </c>
      <c r="E32" s="21">
        <f>0.0069*C14</f>
        <v>2.76</v>
      </c>
      <c r="F32" s="21">
        <f t="shared" si="5"/>
        <v>3.4410999999999996</v>
      </c>
      <c r="G32" s="21">
        <f t="shared" si="8"/>
        <v>4.9391999999999996</v>
      </c>
      <c r="H32" s="21">
        <f t="shared" si="6"/>
        <v>17.291500000000003</v>
      </c>
      <c r="I32" s="22">
        <f t="shared" ref="I32:N32" si="10">I31</f>
        <v>10.484653089040917</v>
      </c>
      <c r="J32" s="22">
        <f t="shared" si="10"/>
        <v>6.421602270036403</v>
      </c>
      <c r="K32" s="22">
        <f t="shared" si="10"/>
        <v>4.4594460208586115</v>
      </c>
      <c r="L32" s="22">
        <f t="shared" si="10"/>
        <v>2.9386051910460695</v>
      </c>
      <c r="M32" s="22">
        <f t="shared" si="10"/>
        <v>2.3525121889537788</v>
      </c>
      <c r="N32" s="22">
        <f t="shared" si="10"/>
        <v>1.4744043406463787</v>
      </c>
      <c r="O32" s="69">
        <f>IF((0.0098*C14+0.5211)&gt;=F31,(0.0098*C14+0.5211-1),(0.0098*C14+0.5211))</f>
        <v>3.4410999999999996</v>
      </c>
      <c r="P32" s="69">
        <f>IF((O32)&lt;0,0,(O32))</f>
        <v>3.4410999999999996</v>
      </c>
      <c r="Q32" s="69">
        <f>IF((0.0323*C14+4.3715)&gt;=H31,(0.0323*C14+4.3715-5),(0.0323*C14+4.3715))</f>
        <v>17.291500000000003</v>
      </c>
      <c r="R32" s="69">
        <f>IF((Q32)&lt;0,0,(Q32))</f>
        <v>17.291500000000003</v>
      </c>
    </row>
    <row r="33" spans="1:18" ht="24" thickBot="1" x14ac:dyDescent="0.3">
      <c r="A33" s="69">
        <f>IF((0.0126*C14-0.7182)&gt;=G32,(0.0126*C14-0.7182-7),(0.0126*C14-0.7182))</f>
        <v>4.3217999999999996</v>
      </c>
      <c r="B33" s="69">
        <f>IF((A33)&lt;0,0,(A33))</f>
        <v>4.3217999999999996</v>
      </c>
      <c r="C33" s="20" t="s">
        <v>6</v>
      </c>
      <c r="D33" s="36">
        <f t="shared" si="4"/>
        <v>0.15000000000000002</v>
      </c>
      <c r="E33" s="21">
        <f>0.0056*C14</f>
        <v>2.2399999999999998</v>
      </c>
      <c r="F33" s="21">
        <f t="shared" si="5"/>
        <v>2.7686000000000002</v>
      </c>
      <c r="G33" s="21">
        <f t="shared" si="8"/>
        <v>4.3217999999999996</v>
      </c>
      <c r="H33" s="21">
        <f t="shared" si="6"/>
        <v>12.291500000000003</v>
      </c>
      <c r="I33" s="22">
        <f t="shared" ref="I33:N33" si="11">I32</f>
        <v>10.484653089040917</v>
      </c>
      <c r="J33" s="22">
        <f t="shared" si="11"/>
        <v>6.421602270036403</v>
      </c>
      <c r="K33" s="22">
        <f t="shared" si="11"/>
        <v>4.4594460208586115</v>
      </c>
      <c r="L33" s="22">
        <f t="shared" si="11"/>
        <v>2.9386051910460695</v>
      </c>
      <c r="M33" s="22">
        <f t="shared" si="11"/>
        <v>2.3525121889537788</v>
      </c>
      <c r="N33" s="22">
        <f t="shared" si="11"/>
        <v>1.4744043406463787</v>
      </c>
      <c r="O33" s="69">
        <f>IF((0.0096*C14-1.0714)&gt;=F32,(0.0096*C14-1.0714-1),(0.0096*C14-1.0714))</f>
        <v>2.7686000000000002</v>
      </c>
      <c r="P33" s="69">
        <f>IF((O33)&lt;0,0,(O33))</f>
        <v>2.7686000000000002</v>
      </c>
      <c r="Q33" s="69">
        <f>IF((0.0323*C14+4.3715)&gt;=H32,(0.0323*C14+4.3715-5),(0.0323*C14+4.3715))</f>
        <v>12.291500000000003</v>
      </c>
      <c r="R33" s="69">
        <f>IF((Q33)&lt;0,0,(Q33))</f>
        <v>12.291500000000003</v>
      </c>
    </row>
    <row r="34" spans="1:18" ht="24" thickBot="1" x14ac:dyDescent="0.3">
      <c r="A34" s="69">
        <f>IF((0.0099*C14-0.5642)&gt;=G33,(0.0099*C14-0.5642-7),(0.0099*C14-0.5642))</f>
        <v>3.3958000000000004</v>
      </c>
      <c r="B34" s="69">
        <f>IF((A34)&lt;0,0,(A34))</f>
        <v>3.3958000000000004</v>
      </c>
      <c r="C34" s="20" t="s">
        <v>7</v>
      </c>
      <c r="D34" s="75">
        <f t="shared" si="4"/>
        <v>0.19500000000000001</v>
      </c>
      <c r="E34" s="76">
        <f>0.0049*C14</f>
        <v>1.96</v>
      </c>
      <c r="F34" s="76">
        <f t="shared" si="5"/>
        <v>2.0960000000000001</v>
      </c>
      <c r="G34" s="76">
        <f t="shared" si="8"/>
        <v>3.3958000000000004</v>
      </c>
      <c r="H34" s="76">
        <f t="shared" si="6"/>
        <v>9.4673000000000016</v>
      </c>
      <c r="I34" s="77">
        <f t="shared" ref="I34:N34" si="12">I33</f>
        <v>10.484653089040917</v>
      </c>
      <c r="J34" s="77">
        <f t="shared" si="12"/>
        <v>6.421602270036403</v>
      </c>
      <c r="K34" s="77">
        <f t="shared" si="12"/>
        <v>4.4594460208586115</v>
      </c>
      <c r="L34" s="77">
        <f t="shared" si="12"/>
        <v>2.9386051910460695</v>
      </c>
      <c r="M34" s="77">
        <f t="shared" si="12"/>
        <v>2.3525121889537788</v>
      </c>
      <c r="N34" s="77">
        <f t="shared" si="12"/>
        <v>1.4744043406463787</v>
      </c>
      <c r="O34" s="69">
        <f>IF((0.008*C14+0.896)&gt;=F33,(0.008*C14+0.896-2),(0.008*C14+0.896))</f>
        <v>2.0960000000000001</v>
      </c>
      <c r="P34" s="69">
        <f>IF((O34)&lt;0,0,(O34))</f>
        <v>2.0960000000000001</v>
      </c>
      <c r="Q34" s="69">
        <f>IF((0.0199*C14+6.5073)&gt;=H33,(0.0199*C14+6.5073-5),(0.0199*C14+6.5073))</f>
        <v>9.4673000000000016</v>
      </c>
      <c r="R34" s="69">
        <f>IF((Q34)&lt;0,0,(Q34))</f>
        <v>9.4673000000000016</v>
      </c>
    </row>
    <row r="35" spans="1:18" ht="51.75" customHeight="1" thickBot="1" x14ac:dyDescent="0.3">
      <c r="A35" s="70"/>
      <c r="B35" s="71"/>
      <c r="D35" s="285" t="s">
        <v>265</v>
      </c>
      <c r="E35" s="286"/>
      <c r="F35" s="286"/>
      <c r="G35" s="286"/>
      <c r="H35" s="286"/>
      <c r="I35" s="286"/>
      <c r="J35" s="286"/>
      <c r="K35" s="286"/>
      <c r="L35" s="286"/>
      <c r="M35" s="286"/>
      <c r="N35" s="287"/>
      <c r="O35" s="71"/>
      <c r="P35" s="71"/>
      <c r="Q35" s="71"/>
      <c r="R35" s="71"/>
    </row>
    <row r="36" spans="1:18" ht="24" thickBot="1" x14ac:dyDescent="0.3">
      <c r="A36" s="70"/>
      <c r="B36" s="69"/>
      <c r="C36" s="20" t="s">
        <v>2</v>
      </c>
      <c r="D36" s="72">
        <f>D29</f>
        <v>0.06</v>
      </c>
      <c r="E36" s="73">
        <f>0.0142*C14</f>
        <v>5.6800000000000006</v>
      </c>
      <c r="F36" s="73">
        <f>0.0131*C14-0.2625</f>
        <v>4.9775</v>
      </c>
      <c r="G36" s="73">
        <f>0.055*C14-4.5</f>
        <v>17.5</v>
      </c>
      <c r="H36" s="73">
        <f>0.0663*C14+0.5195</f>
        <v>27.0395</v>
      </c>
      <c r="I36" s="74">
        <f t="shared" ref="I36:N41" si="13">I29</f>
        <v>10.484653089040917</v>
      </c>
      <c r="J36" s="74">
        <f t="shared" si="13"/>
        <v>6.421602270036403</v>
      </c>
      <c r="K36" s="74">
        <f t="shared" si="13"/>
        <v>4.4594460208586115</v>
      </c>
      <c r="L36" s="74">
        <f t="shared" si="13"/>
        <v>2.9386051910460695</v>
      </c>
      <c r="M36" s="74">
        <f t="shared" si="13"/>
        <v>2.3525121889537788</v>
      </c>
      <c r="N36" s="74">
        <f t="shared" si="13"/>
        <v>1.4744043406463787</v>
      </c>
      <c r="O36" s="69"/>
      <c r="P36" s="69"/>
      <c r="Q36" s="71"/>
      <c r="R36" s="71"/>
    </row>
    <row r="37" spans="1:18" ht="24" thickBot="1" x14ac:dyDescent="0.3">
      <c r="A37" s="69">
        <f>IF((0.0306*C14-2.429)&gt;=G36,(0.0306*C14-2.429-7),(0.0306*C14-2.429))</f>
        <v>9.8109999999999999</v>
      </c>
      <c r="B37" s="69">
        <f>IF((A37)&lt;0,0,(A37))</f>
        <v>9.8109999999999999</v>
      </c>
      <c r="C37" s="20" t="s">
        <v>3</v>
      </c>
      <c r="D37" s="36">
        <f t="shared" ref="D37:D41" si="14">D30</f>
        <v>7.5000000000000011E-2</v>
      </c>
      <c r="E37" s="21">
        <f>0.0111*C14</f>
        <v>4.4400000000000004</v>
      </c>
      <c r="F37" s="21">
        <f t="shared" ref="F37:F41" si="15">P37</f>
        <v>2.3775000000000004</v>
      </c>
      <c r="G37" s="21">
        <f t="shared" ref="G37:G41" si="16">B37</f>
        <v>9.8109999999999999</v>
      </c>
      <c r="H37" s="21">
        <f t="shared" ref="H37:H41" si="17">R37</f>
        <v>24.307399999999998</v>
      </c>
      <c r="I37" s="22">
        <f t="shared" si="13"/>
        <v>10.484653089040917</v>
      </c>
      <c r="J37" s="22">
        <f t="shared" si="13"/>
        <v>6.421602270036403</v>
      </c>
      <c r="K37" s="22">
        <f t="shared" si="13"/>
        <v>4.4594460208586115</v>
      </c>
      <c r="L37" s="22">
        <f t="shared" si="13"/>
        <v>2.9386051910460695</v>
      </c>
      <c r="M37" s="22">
        <f t="shared" si="13"/>
        <v>2.3525121889537788</v>
      </c>
      <c r="N37" s="22">
        <f t="shared" si="13"/>
        <v>1.4744043406463787</v>
      </c>
      <c r="O37" s="69">
        <f>IF((0.0071*C14-0.4625)&gt;=F36,(0.0071*C14-0.4625-1),(0.0071*C14-0.4625))</f>
        <v>2.3775000000000004</v>
      </c>
      <c r="P37" s="69">
        <f>IF((O37)&lt;0,0,(O37))</f>
        <v>2.3775000000000004</v>
      </c>
      <c r="Q37" s="69">
        <f>IF((0.0447*C14+6.4274)&gt;=H36,(0.0447*C14+6.4274-5),(0.0447*C14+6.4274))</f>
        <v>24.307399999999998</v>
      </c>
      <c r="R37" s="69">
        <f>IF((Q37)&lt;0,0,(Q37))</f>
        <v>24.307399999999998</v>
      </c>
    </row>
    <row r="38" spans="1:18" ht="24" thickBot="1" x14ac:dyDescent="0.3">
      <c r="A38" s="69">
        <f>IF((0.0178*C14-1.425)&gt;=G37,(0.0178*C14-1.425-7),(0.0178*C14-1.425))</f>
        <v>5.6950000000000003</v>
      </c>
      <c r="B38" s="69">
        <f>IF((A38)&lt;0,0,(A38))</f>
        <v>5.6950000000000003</v>
      </c>
      <c r="C38" s="20" t="s">
        <v>4</v>
      </c>
      <c r="D38" s="36">
        <f t="shared" si="14"/>
        <v>0.09</v>
      </c>
      <c r="E38" s="21">
        <f>0.0093*C14</f>
        <v>3.7199999999999998</v>
      </c>
      <c r="F38" s="21">
        <f t="shared" si="15"/>
        <v>2.3883000000000001</v>
      </c>
      <c r="G38" s="21">
        <f t="shared" si="16"/>
        <v>5.6950000000000003</v>
      </c>
      <c r="H38" s="21">
        <f t="shared" si="17"/>
        <v>21.266000000000002</v>
      </c>
      <c r="I38" s="22">
        <f t="shared" si="13"/>
        <v>10.484653089040917</v>
      </c>
      <c r="J38" s="22">
        <f t="shared" si="13"/>
        <v>6.421602270036403</v>
      </c>
      <c r="K38" s="22">
        <f t="shared" si="13"/>
        <v>4.4594460208586115</v>
      </c>
      <c r="L38" s="22">
        <f t="shared" si="13"/>
        <v>2.9386051910460695</v>
      </c>
      <c r="M38" s="22">
        <f t="shared" si="13"/>
        <v>2.3525121889537788</v>
      </c>
      <c r="N38" s="22">
        <f t="shared" si="13"/>
        <v>1.4744043406463787</v>
      </c>
      <c r="O38" s="69">
        <f>IF((0.0071*C14-0.4517)&gt;=F37,(0.0071*C14-0.4517),(0.0071*C14-0.4517))</f>
        <v>2.3883000000000001</v>
      </c>
      <c r="P38" s="69">
        <f>IF((O38)&lt;0,0,(O38))</f>
        <v>2.3883000000000001</v>
      </c>
      <c r="Q38" s="69">
        <f>IF((0.0415*C14+4.666)&gt;=H37,(0.0415*C14+4.666-5),(0.0415*C14+4.666))</f>
        <v>21.266000000000002</v>
      </c>
      <c r="R38" s="69">
        <f>IF((Q38)&lt;0,0,(Q38))</f>
        <v>21.266000000000002</v>
      </c>
    </row>
    <row r="39" spans="1:18" ht="24" thickBot="1" x14ac:dyDescent="0.3">
      <c r="A39" s="69">
        <f>IF((0.026*C14-2.2)&gt;=G38,(0.026*C14-2.2-3),(0.026*C14-2.2))</f>
        <v>5.1999999999999993</v>
      </c>
      <c r="B39" s="69">
        <f>IF((A39)&lt;0,0,(A39))</f>
        <v>5.1999999999999993</v>
      </c>
      <c r="C39" s="20" t="s">
        <v>5</v>
      </c>
      <c r="D39" s="36">
        <f t="shared" si="14"/>
        <v>0.12</v>
      </c>
      <c r="E39" s="21">
        <f>0.0069*C14</f>
        <v>2.76</v>
      </c>
      <c r="F39" s="21">
        <f t="shared" si="15"/>
        <v>1.4175</v>
      </c>
      <c r="G39" s="21">
        <f t="shared" si="16"/>
        <v>5.1999999999999993</v>
      </c>
      <c r="H39" s="21">
        <f t="shared" si="17"/>
        <v>15.9893</v>
      </c>
      <c r="I39" s="22">
        <f t="shared" si="13"/>
        <v>10.484653089040917</v>
      </c>
      <c r="J39" s="22">
        <f t="shared" si="13"/>
        <v>6.421602270036403</v>
      </c>
      <c r="K39" s="22">
        <f t="shared" si="13"/>
        <v>4.4594460208586115</v>
      </c>
      <c r="L39" s="22">
        <f t="shared" si="13"/>
        <v>2.9386051910460695</v>
      </c>
      <c r="M39" s="22">
        <f t="shared" si="13"/>
        <v>2.3525121889537788</v>
      </c>
      <c r="N39" s="22">
        <f t="shared" si="13"/>
        <v>1.4744043406463787</v>
      </c>
      <c r="O39" s="69">
        <f>IF((0.006*C14-0.9825)&gt;=F38,(0.006*C14-0.9825-2),(0.006*C14-0.9825))</f>
        <v>1.4175</v>
      </c>
      <c r="P39" s="69">
        <f>IF((O39)&lt;0,0,(O39))</f>
        <v>1.4175</v>
      </c>
      <c r="Q39" s="69">
        <f>IF((0.0344*C14+2.2293)&gt;=H38,(0.0344*C14+2.2293-5),(0.0344*C14+2.2293))</f>
        <v>15.9893</v>
      </c>
      <c r="R39" s="69">
        <f>IF((Q39)&lt;0,0,(Q39))</f>
        <v>15.9893</v>
      </c>
    </row>
    <row r="40" spans="1:18" ht="24" thickBot="1" x14ac:dyDescent="0.3">
      <c r="A40" s="69">
        <f>IF((0.0131*C14-1.6762)&gt;=G39,(0.0131*C14-1.6762-3),(0.0131*C14-1.6762))</f>
        <v>3.5638000000000005</v>
      </c>
      <c r="B40" s="69">
        <f>IF((A40)&lt;0,0,(A40))</f>
        <v>3.5638000000000005</v>
      </c>
      <c r="C40" s="20" t="s">
        <v>6</v>
      </c>
      <c r="D40" s="36">
        <f t="shared" si="14"/>
        <v>0.15000000000000002</v>
      </c>
      <c r="E40" s="21">
        <f>0.0056*C14</f>
        <v>2.2399999999999998</v>
      </c>
      <c r="F40" s="21">
        <f t="shared" si="15"/>
        <v>1.1709000000000001</v>
      </c>
      <c r="G40" s="21">
        <f t="shared" si="16"/>
        <v>3.5638000000000005</v>
      </c>
      <c r="H40" s="21">
        <f t="shared" si="17"/>
        <v>12.104199999999999</v>
      </c>
      <c r="I40" s="22">
        <f t="shared" si="13"/>
        <v>10.484653089040917</v>
      </c>
      <c r="J40" s="22">
        <f t="shared" si="13"/>
        <v>6.421602270036403</v>
      </c>
      <c r="K40" s="22">
        <f t="shared" si="13"/>
        <v>4.4594460208586115</v>
      </c>
      <c r="L40" s="22">
        <f t="shared" si="13"/>
        <v>2.9386051910460695</v>
      </c>
      <c r="M40" s="22">
        <f t="shared" si="13"/>
        <v>2.3525121889537788</v>
      </c>
      <c r="N40" s="22">
        <f t="shared" si="13"/>
        <v>1.4744043406463787</v>
      </c>
      <c r="O40" s="69">
        <f>IF((0.0047*C14-0.7091)&gt;=F39,(0.0047*C14-0.7091),(0.0047*C14-0.7091))</f>
        <v>1.1709000000000001</v>
      </c>
      <c r="P40" s="69">
        <f>IF((O40)&lt;0,0,(O40))</f>
        <v>1.1709000000000001</v>
      </c>
      <c r="Q40" s="69">
        <f>IF((0.0239*C14+7.5442)&gt;=H39,(0.0239*C14+7.5442-5),(0.0239*C14+7.5442))</f>
        <v>12.104199999999999</v>
      </c>
      <c r="R40" s="69">
        <f>IF((Q40)&lt;0,0,(Q40))</f>
        <v>12.104199999999999</v>
      </c>
    </row>
    <row r="41" spans="1:18" ht="23.25" x14ac:dyDescent="0.25">
      <c r="A41" s="69">
        <f>IF((0.0067*C14)&gt;=G40,(0.0067*C14-7),(0.0067*C14))</f>
        <v>2.68</v>
      </c>
      <c r="B41" s="69">
        <f>IF((A41)&lt;0,0,(A41))</f>
        <v>2.68</v>
      </c>
      <c r="C41" s="20" t="s">
        <v>7</v>
      </c>
      <c r="D41" s="36">
        <f t="shared" si="14"/>
        <v>0.19500000000000001</v>
      </c>
      <c r="E41" s="21">
        <f>0.0043*C14</f>
        <v>1.72</v>
      </c>
      <c r="F41" s="21">
        <f t="shared" si="15"/>
        <v>1.079999999999997</v>
      </c>
      <c r="G41" s="21">
        <f t="shared" si="16"/>
        <v>2.68</v>
      </c>
      <c r="H41" s="21">
        <f t="shared" si="17"/>
        <v>6.5072999999999999</v>
      </c>
      <c r="I41" s="22">
        <f t="shared" si="13"/>
        <v>10.484653089040917</v>
      </c>
      <c r="J41" s="22">
        <f t="shared" si="13"/>
        <v>6.421602270036403</v>
      </c>
      <c r="K41" s="22">
        <f t="shared" si="13"/>
        <v>4.4594460208586115</v>
      </c>
      <c r="L41" s="22">
        <f t="shared" si="13"/>
        <v>2.9386051910460695</v>
      </c>
      <c r="M41" s="22">
        <f t="shared" si="13"/>
        <v>2.3525121889537788</v>
      </c>
      <c r="N41" s="22">
        <f t="shared" si="13"/>
        <v>1.4744043406463787</v>
      </c>
      <c r="O41" s="69">
        <f>IF((0.0027*C14-0.000000000000003)&gt;=F40,(0.0027*C14-0.000000000000003-1),(0.0027*C14-0.000000000000003))</f>
        <v>1.079999999999997</v>
      </c>
      <c r="P41" s="69">
        <f>IF((O41)&lt;0,0,(O41))</f>
        <v>1.079999999999997</v>
      </c>
      <c r="Q41" s="69">
        <f>IF((0.0199*C21+6.5073)&gt;=H40,(0.0199*C21+6.5073-5),(0.0199*C21+6.5073))</f>
        <v>6.5072999999999999</v>
      </c>
      <c r="R41" s="69">
        <f>IF((Q41)&lt;0,0,(Q41))</f>
        <v>6.5072999999999999</v>
      </c>
    </row>
    <row r="42" spans="1:18" ht="62.25" thickBot="1" x14ac:dyDescent="0.3">
      <c r="A42" s="70"/>
      <c r="B42" s="71"/>
      <c r="D42" s="282" t="s">
        <v>255</v>
      </c>
      <c r="E42" s="283"/>
      <c r="F42" s="283"/>
      <c r="G42" s="283"/>
      <c r="H42" s="283"/>
      <c r="I42" s="283"/>
      <c r="J42" s="283"/>
      <c r="K42" s="283"/>
      <c r="L42" s="283"/>
      <c r="M42" s="283"/>
      <c r="N42" s="284"/>
      <c r="O42" s="69"/>
      <c r="P42" s="69"/>
      <c r="Q42" s="71"/>
      <c r="R42" s="71"/>
    </row>
    <row r="43" spans="1:18" ht="24" thickBot="1" x14ac:dyDescent="0.3">
      <c r="A43" s="70"/>
      <c r="B43" s="69"/>
      <c r="C43" s="23" t="s">
        <v>80</v>
      </c>
      <c r="D43" s="37">
        <f>C12*0.045</f>
        <v>0.13500000000000001</v>
      </c>
      <c r="E43" s="24">
        <f>0.0062*C14</f>
        <v>2.48</v>
      </c>
      <c r="F43" s="24">
        <f>C14*0.006+0.9361</f>
        <v>3.3361000000000001</v>
      </c>
      <c r="G43" s="24">
        <f>IF((0.0432*C14-8.1036)&lt;0,0,(0.0432*C14-8.1036))</f>
        <v>9.176400000000001</v>
      </c>
      <c r="H43" s="24">
        <f>0.0257*C14+10.916</f>
        <v>21.196000000000002</v>
      </c>
      <c r="I43" s="25">
        <f t="shared" ref="I43:N43" si="18">I27</f>
        <v>10.484653089040917</v>
      </c>
      <c r="J43" s="25">
        <f t="shared" si="18"/>
        <v>6.421602270036403</v>
      </c>
      <c r="K43" s="25">
        <f t="shared" si="18"/>
        <v>4.4594460208586115</v>
      </c>
      <c r="L43" s="25">
        <f t="shared" si="18"/>
        <v>2.9386051910460695</v>
      </c>
      <c r="M43" s="25">
        <f t="shared" si="18"/>
        <v>2.3525121889537788</v>
      </c>
      <c r="N43" s="25">
        <f t="shared" si="18"/>
        <v>1.4744043406463787</v>
      </c>
      <c r="O43" s="69"/>
      <c r="P43" s="69"/>
      <c r="Q43" s="71"/>
      <c r="R43" s="71"/>
    </row>
    <row r="44" spans="1:18" ht="24" thickBot="1" x14ac:dyDescent="0.3">
      <c r="A44" s="69">
        <f>IF((0.0346*C14-8.206)&gt;=G43,(0.0346*C14-8.206-7),(0.0346*C14-8.206))</f>
        <v>5.6340000000000003</v>
      </c>
      <c r="B44" s="69">
        <f>IF((A44)&lt;0,0,(A44))</f>
        <v>5.6340000000000003</v>
      </c>
      <c r="C44" s="23" t="s">
        <v>81</v>
      </c>
      <c r="D44" s="37">
        <f>C12*0.067</f>
        <v>0.20100000000000001</v>
      </c>
      <c r="E44" s="24">
        <f>C14*0.0041+0.000000000000004</f>
        <v>1.6400000000000041</v>
      </c>
      <c r="F44" s="24">
        <f t="shared" ref="F44:F46" si="19">P44</f>
        <v>2.5106999999999999</v>
      </c>
      <c r="G44" s="24">
        <f t="shared" ref="G44:G45" si="20">B44</f>
        <v>5.6340000000000003</v>
      </c>
      <c r="H44" s="24">
        <f t="shared" ref="H44:H45" si="21">R44</f>
        <v>18.273</v>
      </c>
      <c r="I44" s="25">
        <f t="shared" si="2"/>
        <v>10.484653089040917</v>
      </c>
      <c r="J44" s="25">
        <f t="shared" si="2"/>
        <v>6.421602270036403</v>
      </c>
      <c r="K44" s="25">
        <f t="shared" si="2"/>
        <v>4.4594460208586115</v>
      </c>
      <c r="L44" s="25">
        <f t="shared" si="2"/>
        <v>2.9386051910460695</v>
      </c>
      <c r="M44" s="25">
        <f t="shared" si="2"/>
        <v>2.3525121889537788</v>
      </c>
      <c r="N44" s="25">
        <f t="shared" si="2"/>
        <v>1.4744043406463787</v>
      </c>
      <c r="O44" s="69">
        <f>IF((0.006*C14+0.1107)&gt;=F43,(0.006*C14+0.1107),(0.006*C14+0.1107))</f>
        <v>2.5106999999999999</v>
      </c>
      <c r="P44" s="69">
        <f>IF((O44)&lt;0,0,(O44))</f>
        <v>2.5106999999999999</v>
      </c>
      <c r="Q44" s="69">
        <f>IF((0.0197*C14+10.393)&gt;=H43,(0.0197*C14+10.393-5),(0.0197*C14+10.393))</f>
        <v>18.273</v>
      </c>
      <c r="R44" s="69">
        <f>IF((Q44)&lt;0,0,(Q44))</f>
        <v>18.273</v>
      </c>
    </row>
    <row r="45" spans="1:18" ht="24" thickBot="1" x14ac:dyDescent="0.3">
      <c r="A45" s="68">
        <f>IF((0.0177*C14-6.151)&gt;=G44,(0.0177*C14-6.151-7),(0.0177*C14-6.151))</f>
        <v>0.92900000000000027</v>
      </c>
      <c r="B45" s="68">
        <f>IF((A45)&lt;0,0,(A45))</f>
        <v>0.92900000000000027</v>
      </c>
      <c r="C45" s="23" t="s">
        <v>82</v>
      </c>
      <c r="D45" s="37">
        <f>C12*0.097</f>
        <v>0.29100000000000004</v>
      </c>
      <c r="E45" s="24">
        <f>0.0029*C14</f>
        <v>1.1599999999999999</v>
      </c>
      <c r="F45" s="24">
        <f t="shared" si="19"/>
        <v>1.9005999999999998</v>
      </c>
      <c r="G45" s="24">
        <f t="shared" si="20"/>
        <v>0.92900000000000027</v>
      </c>
      <c r="H45" s="24">
        <f t="shared" si="21"/>
        <v>15.334</v>
      </c>
      <c r="I45" s="25">
        <f t="shared" si="2"/>
        <v>10.484653089040917</v>
      </c>
      <c r="J45" s="25">
        <f t="shared" si="2"/>
        <v>6.421602270036403</v>
      </c>
      <c r="K45" s="25">
        <f t="shared" si="2"/>
        <v>4.4594460208586115</v>
      </c>
      <c r="L45" s="25">
        <f t="shared" si="2"/>
        <v>2.9386051910460695</v>
      </c>
      <c r="M45" s="25">
        <f t="shared" si="2"/>
        <v>2.3525121889537788</v>
      </c>
      <c r="N45" s="25">
        <f t="shared" si="2"/>
        <v>1.4744043406463787</v>
      </c>
      <c r="O45" s="69">
        <f>IF((C14*0.0048-0.0194)&gt;=F44,(C14*0.0048-0.0194),(C14*0.0048-0.0194))</f>
        <v>1.9005999999999998</v>
      </c>
      <c r="P45" s="69">
        <f t="shared" ref="P45:P46" si="22">IF((O45)&lt;0,0,(O45))</f>
        <v>1.9005999999999998</v>
      </c>
      <c r="Q45" s="69">
        <f>IF((0.0202*C14+7.254)&gt;=H44,(0.0202*C14+7.254-5),(0.0202*C14+7.254))</f>
        <v>15.334</v>
      </c>
      <c r="R45" s="69">
        <f t="shared" ref="R45:R46" si="23">IF((Q45)&lt;0,0,(Q45))</f>
        <v>15.334</v>
      </c>
    </row>
    <row r="46" spans="1:18" ht="24" thickBot="1" x14ac:dyDescent="0.3">
      <c r="A46" s="68">
        <f>IF((0.0079*C14-4.1526)&gt;=G45,(0.0079*C14-4.1526-7),(0.0079*C14-4.1526))</f>
        <v>-0.99259999999999948</v>
      </c>
      <c r="B46" s="68">
        <f>IF((A46)&lt;0,0,(A46))</f>
        <v>0</v>
      </c>
      <c r="C46" s="23" t="s">
        <v>83</v>
      </c>
      <c r="D46" s="37">
        <f>C12*0.157</f>
        <v>0.47099999999999997</v>
      </c>
      <c r="E46" s="24">
        <f>0.0018*C14+0.000000000000004</f>
        <v>0.72000000000000397</v>
      </c>
      <c r="F46" s="24">
        <f t="shared" si="19"/>
        <v>1.2821999999999998</v>
      </c>
      <c r="G46" s="24">
        <f>B46</f>
        <v>0</v>
      </c>
      <c r="H46" s="24">
        <f>R46</f>
        <v>15.1798</v>
      </c>
      <c r="I46" s="25">
        <f t="shared" si="2"/>
        <v>10.484653089040917</v>
      </c>
      <c r="J46" s="25">
        <f t="shared" si="2"/>
        <v>6.421602270036403</v>
      </c>
      <c r="K46" s="25">
        <f t="shared" si="2"/>
        <v>4.4594460208586115</v>
      </c>
      <c r="L46" s="25">
        <f t="shared" si="2"/>
        <v>2.9386051910460695</v>
      </c>
      <c r="M46" s="25">
        <f t="shared" si="2"/>
        <v>2.3525121889537788</v>
      </c>
      <c r="N46" s="25">
        <f t="shared" si="2"/>
        <v>1.4744043406463787</v>
      </c>
      <c r="O46" s="69">
        <f>IF((C14*0.0039-0.2778)&gt;=F45,(C14*0.0039-0.2778),(C14*0.0039-0.2778))</f>
        <v>1.2821999999999998</v>
      </c>
      <c r="P46" s="69">
        <f t="shared" si="22"/>
        <v>1.2821999999999998</v>
      </c>
      <c r="Q46" s="69">
        <f>IF((0.0188*C14+7.6598)&gt;=H45,(0.0188*C14+7.6598-5),(0.0188*C14+7.6598))</f>
        <v>15.1798</v>
      </c>
      <c r="R46" s="69">
        <f t="shared" si="23"/>
        <v>15.1798</v>
      </c>
    </row>
    <row r="47" spans="1:18" ht="24" thickBot="1" x14ac:dyDescent="0.4">
      <c r="A47" s="66"/>
      <c r="B47" s="67"/>
      <c r="C47" s="26" t="s">
        <v>84</v>
      </c>
      <c r="D47" s="38">
        <f>C12*0.046</f>
        <v>0.13800000000000001</v>
      </c>
      <c r="E47" s="27">
        <f>0.006*C14</f>
        <v>2.4</v>
      </c>
      <c r="F47" s="27">
        <f>C14*0.0066+0.3404</f>
        <v>2.9803999999999999</v>
      </c>
      <c r="G47" s="27">
        <f>IF((0.0504*C14-9.0262)&lt;0,0,(0.0504*C14-9.0262))</f>
        <v>11.133800000000001</v>
      </c>
      <c r="H47" s="27">
        <f>0.0233*C14+11.242</f>
        <v>20.562000000000001</v>
      </c>
      <c r="I47" s="28">
        <f t="shared" si="2"/>
        <v>10.484653089040917</v>
      </c>
      <c r="J47" s="28">
        <f t="shared" si="2"/>
        <v>6.421602270036403</v>
      </c>
      <c r="K47" s="28">
        <f t="shared" si="2"/>
        <v>4.4594460208586115</v>
      </c>
      <c r="L47" s="28">
        <f>L46</f>
        <v>2.9386051910460695</v>
      </c>
      <c r="M47" s="28">
        <f t="shared" si="2"/>
        <v>2.3525121889537788</v>
      </c>
      <c r="N47" s="28">
        <f t="shared" si="2"/>
        <v>1.4744043406463787</v>
      </c>
      <c r="O47" s="67"/>
      <c r="P47" s="69"/>
      <c r="Q47" s="63"/>
      <c r="R47" s="63"/>
    </row>
    <row r="48" spans="1:18" ht="24" thickBot="1" x14ac:dyDescent="0.3">
      <c r="A48" s="69">
        <f>IF((0.0342*C14-8.2961)&gt;=G47,(0.0342*C14-8.2961-7),(0.0342*C14-8.2961))</f>
        <v>5.3839000000000006</v>
      </c>
      <c r="B48" s="69">
        <f>IF((A48)&lt;0,0,(A48))</f>
        <v>5.3839000000000006</v>
      </c>
      <c r="C48" s="26" t="s">
        <v>85</v>
      </c>
      <c r="D48" s="38">
        <f>C12*0.079</f>
        <v>0.23699999999999999</v>
      </c>
      <c r="E48" s="27">
        <f>0.0041*C14+0.000000000000004</f>
        <v>1.6400000000000041</v>
      </c>
      <c r="F48" s="27">
        <f>P48</f>
        <v>2.5106999999999999</v>
      </c>
      <c r="G48" s="27">
        <f>B48</f>
        <v>5.3839000000000006</v>
      </c>
      <c r="H48" s="27">
        <f>R48</f>
        <v>15.0373</v>
      </c>
      <c r="I48" s="28">
        <f t="shared" si="2"/>
        <v>10.484653089040917</v>
      </c>
      <c r="J48" s="28">
        <f t="shared" si="2"/>
        <v>6.421602270036403</v>
      </c>
      <c r="K48" s="28">
        <f t="shared" si="2"/>
        <v>4.4594460208586115</v>
      </c>
      <c r="L48" s="28">
        <f t="shared" si="2"/>
        <v>2.9386051910460695</v>
      </c>
      <c r="M48" s="28">
        <f t="shared" si="2"/>
        <v>2.3525121889537788</v>
      </c>
      <c r="N48" s="28">
        <f t="shared" si="2"/>
        <v>1.4744043406463787</v>
      </c>
      <c r="O48" s="69">
        <f>IF((0.006*C14+0.1107)&gt;=F47,(0.006*C14+0.1107),(0.006*C14+0.1107))</f>
        <v>2.5106999999999999</v>
      </c>
      <c r="P48" s="69">
        <f>IF((O48)&lt;0,0,(O48))</f>
        <v>2.5106999999999999</v>
      </c>
      <c r="Q48" s="69">
        <f>IF((0.0181*C14+7.7973)&gt;=H47,(0.0181*C14+7.7973-5),(0.0181*C14+7.7973))</f>
        <v>15.0373</v>
      </c>
      <c r="R48" s="69">
        <f>IF((Q48)&lt;0,0,(Q48))</f>
        <v>15.0373</v>
      </c>
    </row>
    <row r="49" spans="1:18" ht="24" thickBot="1" x14ac:dyDescent="0.3">
      <c r="A49" s="68">
        <f>IF((0.0133*C14-5.179)&gt;=G48,(0.0133*C14-5.179-7),(0.0133*C14-5.179))</f>
        <v>0.14099999999999913</v>
      </c>
      <c r="B49" s="68">
        <f>IF((A49)&lt;0,0,(A49))</f>
        <v>0.14099999999999913</v>
      </c>
      <c r="C49" s="26" t="s">
        <v>86</v>
      </c>
      <c r="D49" s="38">
        <f>C12*0.113</f>
        <v>0.33900000000000002</v>
      </c>
      <c r="E49" s="27">
        <f>0.0025*C14</f>
        <v>1</v>
      </c>
      <c r="F49" s="27">
        <f t="shared" ref="F49:F50" si="24">P49</f>
        <v>1.9005999999999998</v>
      </c>
      <c r="G49" s="27">
        <f t="shared" ref="G49:G50" si="25">B49</f>
        <v>0.14099999999999913</v>
      </c>
      <c r="H49" s="27">
        <f t="shared" ref="H49:H50" si="26">R49</f>
        <v>12.116399999999999</v>
      </c>
      <c r="I49" s="28">
        <f t="shared" si="2"/>
        <v>10.484653089040917</v>
      </c>
      <c r="J49" s="28">
        <f t="shared" si="2"/>
        <v>6.421602270036403</v>
      </c>
      <c r="K49" s="28">
        <f t="shared" si="2"/>
        <v>4.4594460208586115</v>
      </c>
      <c r="L49" s="28">
        <f t="shared" si="2"/>
        <v>2.9386051910460695</v>
      </c>
      <c r="M49" s="28">
        <f t="shared" si="2"/>
        <v>2.3525121889537788</v>
      </c>
      <c r="N49" s="28">
        <f t="shared" si="2"/>
        <v>1.4744043406463787</v>
      </c>
      <c r="O49" s="69">
        <f>IF((0.0048*C14-0.0194)&gt;=F48,(0.0048*C14-0.0194),(0.0048*C14-0.0194))</f>
        <v>1.9005999999999998</v>
      </c>
      <c r="P49" s="69">
        <f t="shared" ref="P49:P50" si="27">IF((O49)&lt;0,0,(O49))</f>
        <v>1.9005999999999998</v>
      </c>
      <c r="Q49" s="69">
        <f>IF((0.0185*C14+4.7164)&gt;=H48,(0.0185*C14+4.7164-5),(0.0185*C14+4.7164))</f>
        <v>12.116399999999999</v>
      </c>
      <c r="R49" s="69">
        <f t="shared" ref="R49:R50" si="28">IF((Q49)&lt;0,0,(Q49))</f>
        <v>12.116399999999999</v>
      </c>
    </row>
    <row r="50" spans="1:18" ht="24" thickBot="1" x14ac:dyDescent="0.3">
      <c r="A50" s="68">
        <f>IF((0.0043*C14-1.9476)&gt;=G49,(0.0043*C14-1.9476-7),(0.0043*C14-1.9476))</f>
        <v>-0.22760000000000002</v>
      </c>
      <c r="B50" s="68">
        <f>IF((A50)&lt;0,0,(A50))</f>
        <v>0</v>
      </c>
      <c r="C50" s="26" t="s">
        <v>87</v>
      </c>
      <c r="D50" s="38">
        <f>C12*0.182</f>
        <v>0.54600000000000004</v>
      </c>
      <c r="E50" s="27">
        <f>0.0015*C14</f>
        <v>0.6</v>
      </c>
      <c r="F50" s="27">
        <f t="shared" si="24"/>
        <v>1.1919999999999999</v>
      </c>
      <c r="G50" s="27">
        <f t="shared" si="25"/>
        <v>0</v>
      </c>
      <c r="H50" s="27">
        <f t="shared" si="26"/>
        <v>7.2151999999999994</v>
      </c>
      <c r="I50" s="28">
        <f t="shared" si="2"/>
        <v>10.484653089040917</v>
      </c>
      <c r="J50" s="28">
        <f t="shared" si="2"/>
        <v>6.421602270036403</v>
      </c>
      <c r="K50" s="28">
        <f t="shared" si="2"/>
        <v>4.4594460208586115</v>
      </c>
      <c r="L50" s="28">
        <f t="shared" si="2"/>
        <v>2.9386051910460695</v>
      </c>
      <c r="M50" s="28">
        <f t="shared" si="2"/>
        <v>2.3525121889537788</v>
      </c>
      <c r="N50" s="28">
        <f t="shared" si="2"/>
        <v>1.4744043406463787</v>
      </c>
      <c r="O50" s="69">
        <f>IF((0.0037*C14-0.288)&gt;=F49,(0.0037*C14-0.288),(0.0037*C14-0.288))</f>
        <v>1.1919999999999999</v>
      </c>
      <c r="P50" s="69">
        <f t="shared" si="27"/>
        <v>1.1919999999999999</v>
      </c>
      <c r="Q50" s="69">
        <f>IF((0.0192*C14+4.5352)&gt;=H49,(0.0192*C14+4.5352-5),(0.0192*C14+4.5352))</f>
        <v>7.2151999999999994</v>
      </c>
      <c r="R50" s="69">
        <f t="shared" si="28"/>
        <v>7.2151999999999994</v>
      </c>
    </row>
    <row r="51" spans="1:18" ht="24" thickBot="1" x14ac:dyDescent="0.4">
      <c r="A51" s="66"/>
      <c r="B51" s="67"/>
      <c r="C51" s="29" t="s">
        <v>88</v>
      </c>
      <c r="D51" s="39">
        <f>C12*0.045</f>
        <v>0.13500000000000001</v>
      </c>
      <c r="E51" s="30">
        <f>0.0075*C14</f>
        <v>3</v>
      </c>
      <c r="F51" s="30">
        <f>C14*0.0097-0.2096</f>
        <v>3.6703999999999999</v>
      </c>
      <c r="G51" s="30">
        <f>IF((0.0427*C14-6.3193)&lt;0,0,(0.0427*C14-6.3193))</f>
        <v>10.760700000000002</v>
      </c>
      <c r="H51" s="30">
        <f>0.0233*C14+11.242</f>
        <v>20.562000000000001</v>
      </c>
      <c r="I51" s="31">
        <f t="shared" si="2"/>
        <v>10.484653089040917</v>
      </c>
      <c r="J51" s="31">
        <f t="shared" si="2"/>
        <v>6.421602270036403</v>
      </c>
      <c r="K51" s="31">
        <f t="shared" si="2"/>
        <v>4.4594460208586115</v>
      </c>
      <c r="L51" s="31">
        <f>L50</f>
        <v>2.9386051910460695</v>
      </c>
      <c r="M51" s="31">
        <f t="shared" si="2"/>
        <v>2.3525121889537788</v>
      </c>
      <c r="N51" s="31">
        <f t="shared" si="2"/>
        <v>1.4744043406463787</v>
      </c>
      <c r="O51" s="67"/>
      <c r="P51" s="67"/>
      <c r="Q51" s="63"/>
      <c r="R51" s="63"/>
    </row>
    <row r="52" spans="1:18" ht="24" thickBot="1" x14ac:dyDescent="0.3">
      <c r="A52" s="69">
        <f>IF((0.0203*C14-5.4112)&gt;=G51,(0.0203*C14-5.4112-7),(0.0203*C14-5.4112))</f>
        <v>2.7087999999999992</v>
      </c>
      <c r="B52" s="69">
        <f>IF((A52)&lt;0,0,(A52))</f>
        <v>2.7087999999999992</v>
      </c>
      <c r="C52" s="29" t="s">
        <v>89</v>
      </c>
      <c r="D52" s="39">
        <f>C12*0.067</f>
        <v>0.20100000000000001</v>
      </c>
      <c r="E52" s="30">
        <f>0.0043*C14</f>
        <v>1.72</v>
      </c>
      <c r="F52" s="30">
        <f t="shared" ref="F52:F53" si="29">P52</f>
        <v>2.5106999999999999</v>
      </c>
      <c r="G52" s="30">
        <f>B52</f>
        <v>2.7087999999999992</v>
      </c>
      <c r="H52" s="30">
        <f>R52</f>
        <v>15.058</v>
      </c>
      <c r="I52" s="31">
        <f t="shared" si="2"/>
        <v>10.484653089040917</v>
      </c>
      <c r="J52" s="31">
        <f t="shared" si="2"/>
        <v>6.421602270036403</v>
      </c>
      <c r="K52" s="31">
        <f t="shared" si="2"/>
        <v>4.4594460208586115</v>
      </c>
      <c r="L52" s="31">
        <f t="shared" si="2"/>
        <v>2.9386051910460695</v>
      </c>
      <c r="M52" s="31">
        <f t="shared" si="2"/>
        <v>2.3525121889537788</v>
      </c>
      <c r="N52" s="31">
        <f t="shared" si="2"/>
        <v>1.4744043406463787</v>
      </c>
      <c r="O52" s="69">
        <f>IF((0.006*C14+0.1107)&gt;=F51,(0.006*C14+0.1107),(0.006*C14+0.1107))</f>
        <v>2.5106999999999999</v>
      </c>
      <c r="P52" s="69">
        <f>IF((O52)&lt;0,0,(O52))</f>
        <v>2.5106999999999999</v>
      </c>
      <c r="Q52" s="69">
        <f>IF((0.0229*C14+5.898)&gt;=H51,(0.0229*C14+5.898-5),(0.0229*C14+5.898))</f>
        <v>15.058</v>
      </c>
      <c r="R52" s="69">
        <f>IF((Q52)&lt;0,0,(Q52))</f>
        <v>15.058</v>
      </c>
    </row>
    <row r="53" spans="1:18" ht="24" thickBot="1" x14ac:dyDescent="0.3">
      <c r="A53" s="68">
        <f>IF((0.0121*C14-4.2763)&gt;=G52,(0.0121*C14-4.2763-7),(0.0121*C14-4.2763))</f>
        <v>0.56369999999999987</v>
      </c>
      <c r="B53" s="68">
        <f>IF((A53)&lt;0,0,(A53))</f>
        <v>0.56369999999999987</v>
      </c>
      <c r="C53" s="29" t="s">
        <v>90</v>
      </c>
      <c r="D53" s="39">
        <f>C12*0.097</f>
        <v>0.29100000000000004</v>
      </c>
      <c r="E53" s="30">
        <f>0.003*C14</f>
        <v>1.2</v>
      </c>
      <c r="F53" s="30">
        <f t="shared" si="29"/>
        <v>1.9005999999999998</v>
      </c>
      <c r="G53" s="30">
        <f t="shared" ref="G53:G54" si="30">B53</f>
        <v>0.56369999999999987</v>
      </c>
      <c r="H53" s="30">
        <f t="shared" ref="H53:H54" si="31">R53</f>
        <v>12.116399999999999</v>
      </c>
      <c r="I53" s="31">
        <f t="shared" ref="I53:N54" si="32">I52</f>
        <v>10.484653089040917</v>
      </c>
      <c r="J53" s="31">
        <f t="shared" si="32"/>
        <v>6.421602270036403</v>
      </c>
      <c r="K53" s="31">
        <f t="shared" si="32"/>
        <v>4.4594460208586115</v>
      </c>
      <c r="L53" s="31">
        <f t="shared" si="32"/>
        <v>2.9386051910460695</v>
      </c>
      <c r="M53" s="31">
        <f t="shared" si="32"/>
        <v>2.3525121889537788</v>
      </c>
      <c r="N53" s="31">
        <f t="shared" si="32"/>
        <v>1.4744043406463787</v>
      </c>
      <c r="O53" s="69">
        <f>IF((0.0048*C14-0.0194)&gt;=F52,(0.0048*C14-0.0194),(0.0048*C14-0.0194))</f>
        <v>1.9005999999999998</v>
      </c>
      <c r="P53" s="69">
        <f t="shared" ref="P53:P54" si="33">IF((O53)&lt;0,0,(O53))</f>
        <v>1.9005999999999998</v>
      </c>
      <c r="Q53" s="69">
        <f>IF((0.0185*C14+4.7164)&gt;=H52,(0.0185*C14+4.7164-5),(0.0185*C14+4.7164))</f>
        <v>12.116399999999999</v>
      </c>
      <c r="R53" s="69">
        <f t="shared" ref="R53:R54" si="34">IF((Q53)&lt;0,0,(Q53))</f>
        <v>12.116399999999999</v>
      </c>
    </row>
    <row r="54" spans="1:18" ht="24" thickBot="1" x14ac:dyDescent="0.3">
      <c r="A54" s="68">
        <f>IF((0.0049*C14-2.0349)&gt;=G53,(0.0049*C14-2.0349-7),(0.0049*C14-2.0349))</f>
        <v>-7.4899999999999967E-2</v>
      </c>
      <c r="B54" s="68">
        <f>IF((A54)&lt;0,0,(A54))</f>
        <v>0</v>
      </c>
      <c r="C54" s="29" t="s">
        <v>91</v>
      </c>
      <c r="D54" s="39">
        <f>C12*0.157</f>
        <v>0.47099999999999997</v>
      </c>
      <c r="E54" s="30">
        <f>0.0019*C14</f>
        <v>0.76</v>
      </c>
      <c r="F54" s="30">
        <f>P54</f>
        <v>1.1919999999999999</v>
      </c>
      <c r="G54" s="30">
        <f t="shared" si="30"/>
        <v>0</v>
      </c>
      <c r="H54" s="30">
        <f t="shared" si="31"/>
        <v>10.297599999999999</v>
      </c>
      <c r="I54" s="31">
        <f t="shared" si="32"/>
        <v>10.484653089040917</v>
      </c>
      <c r="J54" s="31">
        <f t="shared" si="32"/>
        <v>6.421602270036403</v>
      </c>
      <c r="K54" s="31">
        <f t="shared" si="32"/>
        <v>4.4594460208586115</v>
      </c>
      <c r="L54" s="31">
        <f t="shared" si="32"/>
        <v>2.9386051910460695</v>
      </c>
      <c r="M54" s="31">
        <f t="shared" si="32"/>
        <v>2.3525121889537788</v>
      </c>
      <c r="N54" s="31">
        <f t="shared" si="32"/>
        <v>1.4744043406463787</v>
      </c>
      <c r="O54" s="69">
        <f>IF((0.0037*C14-0.288)&gt;=F53,(0.0037*C14-0.288),(0.0037*C14-0.288))</f>
        <v>1.1919999999999999</v>
      </c>
      <c r="P54" s="69">
        <f t="shared" si="33"/>
        <v>1.1919999999999999</v>
      </c>
      <c r="Q54" s="69">
        <f>IF((0.0202*C14+7.2176)&gt;=H53,(0.0202*C14+7.2176-5),(0.0202*C14+7.2176))</f>
        <v>10.297599999999999</v>
      </c>
      <c r="R54" s="69">
        <f t="shared" si="34"/>
        <v>10.297599999999999</v>
      </c>
    </row>
    <row r="55" spans="1:18" ht="24" thickBot="1" x14ac:dyDescent="0.3">
      <c r="C55" s="32" t="s">
        <v>256</v>
      </c>
      <c r="D55" s="40">
        <f>C12*0.025*2</f>
        <v>0.15000000000000002</v>
      </c>
      <c r="E55" s="33">
        <f>0.0058*C14+0.000000000000003</f>
        <v>2.3200000000000029</v>
      </c>
      <c r="F55" s="33">
        <f>IF((0.0057*C14-0.9467)&lt;0,0,(0.0057*C14-0.9467))</f>
        <v>1.3333000000000004</v>
      </c>
      <c r="G55" s="33">
        <f>IF((0.0038*C14-1.5336)&lt;0,0,(0.0038*C14-1.5336))</f>
        <v>0</v>
      </c>
      <c r="H55" s="33">
        <f>0.0192*C14+12.068</f>
        <v>19.747999999999998</v>
      </c>
      <c r="I55" s="34">
        <f t="shared" ref="I55:N60" si="35">I22</f>
        <v>10.484653089040917</v>
      </c>
      <c r="J55" s="34">
        <f t="shared" si="35"/>
        <v>6.421602270036403</v>
      </c>
      <c r="K55" s="34">
        <f t="shared" si="35"/>
        <v>4.4594460208586115</v>
      </c>
      <c r="L55" s="34">
        <f t="shared" si="35"/>
        <v>2.9386051910460695</v>
      </c>
      <c r="M55" s="34">
        <f t="shared" si="35"/>
        <v>2.3525121889537788</v>
      </c>
      <c r="N55" s="34">
        <f t="shared" si="35"/>
        <v>1.4744043406463787</v>
      </c>
      <c r="O55" s="63"/>
      <c r="P55" s="63"/>
      <c r="Q55" s="69"/>
      <c r="R55" s="63"/>
    </row>
    <row r="56" spans="1:18" ht="24" customHeight="1" thickBot="1" x14ac:dyDescent="0.3">
      <c r="A56" s="68">
        <f>IF((0.0052*C14-2.7)&gt;=G55,(0.0052*C14-2.7-7),(0.0052*C14-2.7))</f>
        <v>-0.62000000000000011</v>
      </c>
      <c r="B56" s="68">
        <f>IF((A56)&lt;0,0,(A56))</f>
        <v>0</v>
      </c>
      <c r="C56" s="32" t="s">
        <v>257</v>
      </c>
      <c r="D56" s="40">
        <f>C12*0.03*2</f>
        <v>0.18</v>
      </c>
      <c r="E56" s="33">
        <f>0.0048*C14</f>
        <v>1.92</v>
      </c>
      <c r="F56" s="33">
        <f>P56</f>
        <v>0.28999999999999981</v>
      </c>
      <c r="G56" s="33">
        <f>B56</f>
        <v>0</v>
      </c>
      <c r="H56" s="33">
        <f>R56</f>
        <v>0.89799999999999969</v>
      </c>
      <c r="I56" s="34">
        <f t="shared" si="35"/>
        <v>10.484653089040917</v>
      </c>
      <c r="J56" s="34">
        <f t="shared" si="35"/>
        <v>6.421602270036403</v>
      </c>
      <c r="K56" s="34">
        <f t="shared" si="35"/>
        <v>4.4594460208586115</v>
      </c>
      <c r="L56" s="34">
        <f t="shared" si="35"/>
        <v>2.9386051910460695</v>
      </c>
      <c r="M56" s="34">
        <f t="shared" si="35"/>
        <v>2.3525121889537788</v>
      </c>
      <c r="N56" s="34">
        <f t="shared" si="35"/>
        <v>1.4744043406463787</v>
      </c>
      <c r="O56" s="69">
        <f>IF((0.0046*C14-1.55)&gt;=F55,(0.0046*C14-1.55),(0.0046*C14-1.55))</f>
        <v>0.28999999999999981</v>
      </c>
      <c r="P56" s="69">
        <f>IF((O56)&lt;0,0,(O56))</f>
        <v>0.28999999999999981</v>
      </c>
      <c r="Q56" s="69">
        <f>IF((0.0189*C14+12.266)&gt;=H55,(0.0229*C18+5.898-5),(0.0229*C18+5.898))</f>
        <v>0.89799999999999969</v>
      </c>
      <c r="R56" s="69">
        <f>IF((Q56)&lt;0,0,(Q56))</f>
        <v>0.89799999999999969</v>
      </c>
    </row>
    <row r="57" spans="1:18" ht="23.25" x14ac:dyDescent="0.25">
      <c r="C57" s="55" t="s">
        <v>258</v>
      </c>
      <c r="D57" s="56">
        <f>3*0.02*0.955*C12</f>
        <v>0.1719</v>
      </c>
      <c r="E57" s="57">
        <f>0.0048*C14</f>
        <v>1.92</v>
      </c>
      <c r="F57" s="57">
        <f>IF((0.0042*C14-0.7989)&lt;0,0,(0.0042*C14-0.7989))</f>
        <v>0.88109999999999988</v>
      </c>
      <c r="G57" s="57">
        <f>IF((0.0029*C14-1.3503)&lt;0,0,(0.0029*C14-1.3503))</f>
        <v>0</v>
      </c>
      <c r="H57" s="57">
        <f>0.0204*C14+16.892</f>
        <v>25.052</v>
      </c>
      <c r="I57" s="58">
        <f t="shared" si="35"/>
        <v>10.484653089040917</v>
      </c>
      <c r="J57" s="58">
        <f t="shared" si="35"/>
        <v>6.421602270036403</v>
      </c>
      <c r="K57" s="58">
        <f t="shared" si="35"/>
        <v>4.4594460208586115</v>
      </c>
      <c r="L57" s="58">
        <f t="shared" si="35"/>
        <v>2.9386051910460695</v>
      </c>
      <c r="M57" s="58">
        <f t="shared" si="35"/>
        <v>2.3525121889537788</v>
      </c>
      <c r="N57" s="58">
        <f t="shared" si="35"/>
        <v>1.4744043406463787</v>
      </c>
      <c r="O57" s="63"/>
      <c r="P57" s="63"/>
      <c r="Q57" s="63"/>
      <c r="R57" s="63"/>
    </row>
    <row r="58" spans="1:18" ht="23.25" x14ac:dyDescent="0.25">
      <c r="A58" s="68">
        <f>IF((0.0038*C14-1.5602)&gt;=G57,(0.0038*C14-1.5602-7),(0.0038*C14-1.5602))</f>
        <v>-4.0200000000000014E-2</v>
      </c>
      <c r="B58" s="68">
        <f>IF((A58)&lt;0,0,(A58))</f>
        <v>0</v>
      </c>
      <c r="C58" s="59" t="s">
        <v>259</v>
      </c>
      <c r="D58" s="52">
        <f>0.06416336*C12</f>
        <v>0.19249008000000001</v>
      </c>
      <c r="E58" s="53">
        <f>0.0043*C14</f>
        <v>1.72</v>
      </c>
      <c r="F58" s="53">
        <f>P58</f>
        <v>0.59410000000000007</v>
      </c>
      <c r="G58" s="53">
        <f>B58</f>
        <v>0</v>
      </c>
      <c r="H58" s="53">
        <f>R58</f>
        <v>24.950000000000003</v>
      </c>
      <c r="I58" s="54">
        <f t="shared" si="35"/>
        <v>10.484653089040917</v>
      </c>
      <c r="J58" s="54">
        <f t="shared" si="35"/>
        <v>6.421602270036403</v>
      </c>
      <c r="K58" s="54">
        <f t="shared" si="35"/>
        <v>4.4594460208586115</v>
      </c>
      <c r="L58" s="54">
        <f t="shared" si="35"/>
        <v>2.9386051910460695</v>
      </c>
      <c r="M58" s="54">
        <f t="shared" si="35"/>
        <v>2.3525121889537788</v>
      </c>
      <c r="N58" s="54">
        <f t="shared" si="35"/>
        <v>1.4744043406463787</v>
      </c>
      <c r="O58" s="69">
        <f>IF((0.0044*C14-0.1659)&gt;=F57,(0.0044*C14-0.1659-1),(0.0044*C14-0.1659))</f>
        <v>0.59410000000000007</v>
      </c>
      <c r="P58" s="69">
        <f>IF((O58)&lt;0,0,(O58))</f>
        <v>0.59410000000000007</v>
      </c>
      <c r="Q58" s="69">
        <f>IF((0.0169*C14+18.19)&gt;=H57,(0.0169*C14+18.19-5),(0.0169*C14+18.19))</f>
        <v>24.950000000000003</v>
      </c>
      <c r="R58" s="69">
        <f>IF((Q58)&lt;0,0,(Q58))</f>
        <v>24.950000000000003</v>
      </c>
    </row>
    <row r="59" spans="1:18" ht="61.5" x14ac:dyDescent="0.25">
      <c r="D59" s="273" t="s">
        <v>260</v>
      </c>
      <c r="E59" s="274"/>
      <c r="F59" s="274"/>
      <c r="G59" s="274"/>
      <c r="H59" s="274"/>
      <c r="I59" s="274"/>
      <c r="J59" s="274"/>
      <c r="K59" s="274"/>
      <c r="L59" s="274"/>
      <c r="M59" s="274"/>
      <c r="N59" s="275"/>
      <c r="O59" s="67"/>
      <c r="P59" s="69"/>
      <c r="Q59" s="63"/>
      <c r="R59" s="63"/>
    </row>
    <row r="60" spans="1:18" ht="23.25" x14ac:dyDescent="0.25">
      <c r="C60" s="59" t="s">
        <v>260</v>
      </c>
      <c r="D60" s="52">
        <f>0.056*C12</f>
        <v>0.16800000000000001</v>
      </c>
      <c r="E60" s="53">
        <f>0.0049*C14</f>
        <v>1.96</v>
      </c>
      <c r="F60" s="53">
        <f>IF((0.0053*C14-1.2483)&lt;0,0,(0.0053*C14-1.2483))</f>
        <v>0.87170000000000014</v>
      </c>
      <c r="G60" s="53">
        <f>IF((0.0022*C14-0.8117)&lt;0,0,(0.0022*C14-0.8117))</f>
        <v>6.8300000000000027E-2</v>
      </c>
      <c r="H60" s="53">
        <f>0.0191*C14+16.918</f>
        <v>24.558</v>
      </c>
      <c r="I60" s="54">
        <f t="shared" si="35"/>
        <v>10.484653089040917</v>
      </c>
      <c r="J60" s="54">
        <f t="shared" si="35"/>
        <v>6.421602270036403</v>
      </c>
      <c r="K60" s="54">
        <f t="shared" si="35"/>
        <v>4.4594460208586115</v>
      </c>
      <c r="L60" s="54">
        <f t="shared" si="35"/>
        <v>2.9386051910460695</v>
      </c>
      <c r="M60" s="54">
        <f t="shared" si="35"/>
        <v>2.3525121889537788</v>
      </c>
      <c r="N60" s="54">
        <f t="shared" si="35"/>
        <v>1.4744043406463787</v>
      </c>
      <c r="O60" s="63"/>
      <c r="P60" s="63"/>
      <c r="Q60" s="63"/>
      <c r="R60" s="63"/>
    </row>
    <row r="61" spans="1:18" x14ac:dyDescent="0.25">
      <c r="O61" s="63"/>
      <c r="P61" s="63"/>
      <c r="Q61" s="63"/>
      <c r="R61" s="63"/>
    </row>
    <row r="62" spans="1:18" ht="32.1" customHeight="1" x14ac:dyDescent="0.25">
      <c r="O62" s="63"/>
      <c r="P62" s="63"/>
      <c r="Q62" s="63"/>
      <c r="R62" s="63"/>
    </row>
    <row r="63" spans="1:18" ht="32.1" customHeight="1" x14ac:dyDescent="0.25"/>
  </sheetData>
  <sheetProtection algorithmName="SHA-512" hashValue="5Gun8KItNfZqC41TVdLeU9iNgAFDyWUpY+2QBzzUzNSGJbaUQ3lKR22wIxgiYqE+YLIKDiMUTWgzxKdx6EMp8Q==" saltValue="5CN9ILUpz8S2ISQT1da8PQ==" spinCount="100000" sheet="1" formatCells="0" selectLockedCells="1"/>
  <protectedRanges>
    <protectedRange algorithmName="SHA-512" hashValue="IuAAPi4Zh/Ufb05kOhHS1ttLnQGfQHjMGDAFmuOeby49UsOwuSgDo9BdO09ZWcFaVz5i4+y0T9O8T4C5AamW7w==" saltValue="rj7T+2WOIwQRK9oWkAPKtw==" spinCount="100000" sqref="C10 C12 C16 P7 P7" name="Range1"/>
  </protectedRanges>
  <mergeCells count="20">
    <mergeCell ref="O10:S10"/>
    <mergeCell ref="O12:S12"/>
    <mergeCell ref="O16:S16"/>
    <mergeCell ref="D59:N59"/>
    <mergeCell ref="C16:N16"/>
    <mergeCell ref="D20:N20"/>
    <mergeCell ref="D42:N42"/>
    <mergeCell ref="D21:N21"/>
    <mergeCell ref="D28:N28"/>
    <mergeCell ref="D35:N35"/>
    <mergeCell ref="C11:N11"/>
    <mergeCell ref="C12:N12"/>
    <mergeCell ref="C13:N13"/>
    <mergeCell ref="C14:N14"/>
    <mergeCell ref="C15:N15"/>
    <mergeCell ref="C2:N3"/>
    <mergeCell ref="C5:N6"/>
    <mergeCell ref="C8:N8"/>
    <mergeCell ref="C9:N9"/>
    <mergeCell ref="C10:N10"/>
  </mergeCells>
  <hyperlinks>
    <hyperlink ref="P7" location="Descriptions!A1" display="Home" xr:uid="{4C271778-FCDD-4982-A93A-1E8DEB39D15D}"/>
  </hyperlinks>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Descriptions</vt:lpstr>
      <vt:lpstr>Calculator</vt:lpstr>
      <vt:lpstr>Descriptions!Print_Area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Christoforos Konstantinou</dc:creator>
  <cp:lastModifiedBy>Lefteris Georgiou</cp:lastModifiedBy>
  <dcterms:created xsi:type="dcterms:W3CDTF">2022-12-19T08:42:38Z</dcterms:created>
  <dcterms:modified xsi:type="dcterms:W3CDTF">2024-03-19T10:04:28Z</dcterms:modified>
</cp:coreProperties>
</file>